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Elenco Prestiti" sheetId="2" state="visible" r:id="rId2"/>
    <sheet xmlns:r="http://schemas.openxmlformats.org/officeDocument/2006/relationships" name="Piano Ammortamento" sheetId="3" state="visible" r:id="rId3"/>
    <sheet xmlns:r="http://schemas.openxmlformats.org/officeDocument/2006/relationships" name="Analisi Finanziaria" sheetId="4" state="visible" r:id="rId4"/>
    <sheet xmlns:r="http://schemas.openxmlformats.org/officeDocument/2006/relationships" name="Istruzioni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€ #,##0.00"/>
    <numFmt numFmtId="165" formatCode="0.00&quot;%&quot;"/>
    <numFmt numFmtId="166" formatCode="0 &quot;mesi&quot;"/>
    <numFmt numFmtId="167" formatCode="yyyy-mm-dd h:mm:ss"/>
    <numFmt numFmtId="168" formatCode="DD/MM/YYYY"/>
  </numFmts>
  <fonts count="13">
    <font>
      <name val="Calibri"/>
      <family val="2"/>
      <color theme="1"/>
      <sz val="11"/>
      <scheme val="minor"/>
    </font>
    <font>
      <b val="1"/>
      <color rgb="001E3A8A"/>
      <sz val="18"/>
    </font>
    <font>
      <color rgb="006B7280"/>
      <sz val="10"/>
    </font>
    <font>
      <b val="1"/>
      <color rgb="00FFFFFF"/>
      <sz val="11"/>
    </font>
    <font>
      <b val="1"/>
      <color rgb="00374151"/>
      <sz val="10"/>
    </font>
    <font>
      <b val="1"/>
      <sz val="12"/>
    </font>
    <font>
      <b val="1"/>
      <color rgb="001E3A8A"/>
      <sz val="11"/>
    </font>
    <font>
      <b val="1"/>
      <color rgb="001E3A8A"/>
      <sz val="14"/>
    </font>
    <font>
      <b val="1"/>
      <sz val="10"/>
    </font>
    <font>
      <b val="1"/>
      <color rgb="001E3A8A"/>
      <sz val="12"/>
    </font>
    <font>
      <b val="1"/>
      <color rgb="00FFFFFF"/>
      <sz val="12"/>
    </font>
    <font>
      <b val="1"/>
      <color rgb="001E3A8A"/>
      <sz val="16"/>
    </font>
    <font>
      <color rgb="00374151"/>
      <sz val="10"/>
    </font>
  </fonts>
  <fills count="7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10B981"/>
        <bgColor rgb="0010B981"/>
      </patternFill>
    </fill>
    <fill>
      <patternFill patternType="solid">
        <fgColor rgb="003B82F6"/>
        <bgColor rgb="003B82F6"/>
      </patternFill>
    </fill>
    <fill>
      <patternFill patternType="solid">
        <fgColor rgb="00F59E0B"/>
        <bgColor rgb="00F59E0B"/>
      </patternFill>
    </fill>
    <fill>
      <patternFill patternType="solid">
        <fgColor rgb="00F3F4F6"/>
        <bgColor rgb="00F3F4F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44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2" borderId="0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 wrapText="1"/>
    </xf>
    <xf numFmtId="164" fontId="5" fillId="0" borderId="1" applyAlignment="1" pivotButton="0" quotePrefix="0" xfId="0">
      <alignment horizontal="right" vertical="center"/>
    </xf>
    <xf numFmtId="0" fontId="0" fillId="3" borderId="1" pivotButton="0" quotePrefix="0" xfId="0"/>
    <xf numFmtId="164" fontId="6" fillId="0" borderId="1" applyAlignment="1" pivotButton="0" quotePrefix="0" xfId="0">
      <alignment horizontal="center" vertical="center" wrapText="1"/>
    </xf>
    <xf numFmtId="0" fontId="0" fillId="4" borderId="1" pivotButton="0" quotePrefix="0" xfId="0"/>
    <xf numFmtId="165" fontId="6" fillId="0" borderId="1" applyAlignment="1" pivotButton="0" quotePrefix="0" xfId="0">
      <alignment horizontal="center" vertical="center" wrapText="1"/>
    </xf>
    <xf numFmtId="0" fontId="0" fillId="5" borderId="1" pivotButton="0" quotePrefix="0" xfId="0"/>
    <xf numFmtId="166" fontId="6" fillId="0" borderId="1" applyAlignment="1" pivotButton="0" quotePrefix="0" xfId="0">
      <alignment horizontal="center" vertical="center" wrapText="1"/>
    </xf>
    <xf numFmtId="0" fontId="0" fillId="2" borderId="1" pivotButton="0" quotePrefix="0" xfId="0"/>
    <xf numFmtId="10" fontId="6" fillId="0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0" fillId="6" borderId="1" applyAlignment="1" pivotButton="0" quotePrefix="0" xfId="0">
      <alignment horizontal="center" vertical="center" wrapText="1"/>
    </xf>
    <xf numFmtId="0" fontId="0" fillId="6" borderId="1" applyAlignment="1" pivotButton="0" quotePrefix="0" xfId="0">
      <alignment horizontal="left" vertical="center" wrapText="1"/>
    </xf>
    <xf numFmtId="164" fontId="0" fillId="6" borderId="1" applyAlignment="1" pivotButton="0" quotePrefix="0" xfId="0">
      <alignment horizontal="left" vertical="center" wrapText="1"/>
    </xf>
    <xf numFmtId="165" fontId="0" fillId="6" borderId="1" applyAlignment="1" pivotButton="0" quotePrefix="0" xfId="0">
      <alignment horizontal="left" vertical="center" wrapText="1"/>
    </xf>
    <xf numFmtId="168" fontId="0" fillId="6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164" fontId="0" fillId="0" borderId="1" applyAlignment="1" pivotButton="0" quotePrefix="0" xfId="0">
      <alignment horizontal="left" vertical="center" wrapText="1"/>
    </xf>
    <xf numFmtId="165" fontId="0" fillId="0" borderId="1" applyAlignment="1" pivotButton="0" quotePrefix="0" xfId="0">
      <alignment horizontal="left" vertical="center" wrapText="1"/>
    </xf>
    <xf numFmtId="168" fontId="0" fillId="0" borderId="1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center" vertical="center" wrapText="1"/>
    </xf>
    <xf numFmtId="0" fontId="8" fillId="0" borderId="0" pivotButton="0" quotePrefix="0" xfId="0"/>
    <xf numFmtId="0" fontId="0" fillId="0" borderId="1" pivotButton="0" quotePrefix="0" xfId="0"/>
    <xf numFmtId="164" fontId="0" fillId="6" borderId="1" pivotButton="0" quotePrefix="0" xfId="0"/>
    <xf numFmtId="166" fontId="0" fillId="6" borderId="1" pivotButton="0" quotePrefix="0" xfId="0"/>
    <xf numFmtId="165" fontId="0" fillId="6" borderId="1" pivotButton="0" quotePrefix="0" xfId="0"/>
    <xf numFmtId="168" fontId="0" fillId="6" borderId="1" applyAlignment="1" pivotButton="0" quotePrefix="0" xfId="0">
      <alignment horizontal="right" vertical="center"/>
    </xf>
    <xf numFmtId="164" fontId="0" fillId="6" borderId="1" applyAlignment="1" pivotButton="0" quotePrefix="0" xfId="0">
      <alignment horizontal="right" vertical="center"/>
    </xf>
    <xf numFmtId="168" fontId="0" fillId="0" borderId="1" applyAlignment="1" pivotButton="0" quotePrefix="0" xfId="0">
      <alignment horizontal="right" vertical="center"/>
    </xf>
    <xf numFmtId="164" fontId="0" fillId="0" borderId="1" applyAlignment="1" pivotButton="0" quotePrefix="0" xfId="0">
      <alignment horizontal="right" vertical="center"/>
    </xf>
    <xf numFmtId="164" fontId="9" fillId="0" borderId="1" pivotButton="0" quotePrefix="0" xfId="0"/>
    <xf numFmtId="164" fontId="10" fillId="3" borderId="1" pivotButton="0" quotePrefix="0" xfId="0"/>
    <xf numFmtId="0" fontId="11" fillId="0" borderId="0" applyAlignment="1" pivotButton="0" quotePrefix="0" xfId="0">
      <alignment horizontal="center" vertical="center" wrapText="1"/>
    </xf>
    <xf numFmtId="0" fontId="10" fillId="2" borderId="0" applyAlignment="1" pivotButton="0" quotePrefix="0" xfId="0">
      <alignment horizontal="left" vertical="center" wrapText="1"/>
    </xf>
    <xf numFmtId="0" fontId="12" fillId="0" borderId="0" applyAlignment="1" pivotButton="0" quotePrefix="0" xfId="0">
      <alignment horizontal="left" vertical="center" wrapText="1"/>
    </xf>
    <xf numFmtId="0" fontId="3" fillId="4" borderId="0" applyAlignment="1" pivotButton="0" quotePrefix="0" xfId="0">
      <alignment horizontal="left" vertical="center" wrapText="1"/>
    </xf>
    <xf numFmtId="0" fontId="3" fillId="3" borderId="0" applyAlignment="1" pivotButton="0" quotePrefix="0" xfId="0">
      <alignment horizontal="left" vertical="center" wrapText="1"/>
    </xf>
    <xf numFmtId="0" fontId="3" fillId="5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H12"/>
  <sheetViews>
    <sheetView workbookViewId="0">
      <selection activeCell="A1" sqref="A1"/>
    </sheetView>
  </sheetViews>
  <sheetFormatPr baseColWidth="8" defaultRowHeight="15"/>
  <cols>
    <col width="20" customWidth="1" min="2" max="2"/>
    <col width="18" customWidth="1" min="3" max="3"/>
    <col width="5" customWidth="1" min="4" max="4"/>
    <col width="3" customWidth="1" min="5" max="5"/>
    <col width="22" customWidth="1" min="6" max="6"/>
    <col width="12" customWidth="1" min="7" max="7"/>
    <col width="12" customWidth="1" min="8" max="8"/>
  </cols>
  <sheetData>
    <row r="2">
      <c r="B2" s="1" t="inlineStr">
        <is>
          <t>GESTIONE PRESTITI PERSONALI</t>
        </is>
      </c>
    </row>
    <row r="3">
      <c r="B3" s="2" t="inlineStr">
        <is>
          <t>Aggiornato al: 09/03/2026</t>
        </is>
      </c>
    </row>
    <row r="5">
      <c r="B5" s="3" t="inlineStr">
        <is>
          <t>RIEPILOGO GENERALE</t>
        </is>
      </c>
      <c r="F5" s="3" t="inlineStr">
        <is>
          <t>INDICATORI FINANZIARI</t>
        </is>
      </c>
    </row>
    <row r="6">
      <c r="B6" s="4" t="inlineStr">
        <is>
          <t>Totale Prestiti Attivi</t>
        </is>
      </c>
      <c r="C6" s="5">
        <f>COUNTA(OFFSET('Elenco Prestiti'!A2,0,0,COUNTA('Elenco Prestiti'!A:A)-1,1))</f>
        <v/>
      </c>
      <c r="D6" s="6" t="n"/>
      <c r="F6" s="4" t="inlineStr">
        <is>
          <t>Rata Media Mensile</t>
        </is>
      </c>
      <c r="G6" s="7">
        <f>AVERAGE('Elenco Prestiti'!F:F)</f>
        <v/>
      </c>
    </row>
    <row r="7">
      <c r="B7" s="4" t="inlineStr">
        <is>
          <t>Capitale Totale Erogato</t>
        </is>
      </c>
      <c r="C7" s="5">
        <f>SUM('Elenco Prestiti'!C:C)</f>
        <v/>
      </c>
      <c r="D7" s="8" t="n"/>
      <c r="F7" s="4" t="inlineStr">
        <is>
          <t>Tasso Medio Ponderato</t>
        </is>
      </c>
      <c r="G7" s="9">
        <f>SUMPRODUCT('Elenco Prestiti'!C:C,'Elenco Prestiti'!D:D)/SUM('Elenco Prestiti'!C:C)</f>
        <v/>
      </c>
    </row>
    <row r="8">
      <c r="B8" s="4" t="inlineStr">
        <is>
          <t>Debito Residuo Totale</t>
        </is>
      </c>
      <c r="C8" s="5">
        <f>SUM('Elenco Prestiti'!H:H)</f>
        <v/>
      </c>
      <c r="D8" s="10" t="n"/>
      <c r="F8" s="4" t="inlineStr">
        <is>
          <t>Durata Media Residua</t>
        </is>
      </c>
      <c r="G8" s="11">
        <f>AVERAGE('Elenco Prestiti'!G:G)</f>
        <v/>
      </c>
    </row>
    <row r="9">
      <c r="B9" s="4" t="inlineStr">
        <is>
          <t>Totale Interessi Pagati</t>
        </is>
      </c>
      <c r="C9" s="5">
        <f>SUM('Elenco Prestiti'!I:I)</f>
        <v/>
      </c>
      <c r="D9" s="12" t="n"/>
      <c r="F9" s="4" t="inlineStr">
        <is>
          <t>Rapporto Debito/Capitale</t>
        </is>
      </c>
      <c r="G9" s="13">
        <f>C8/C7</f>
        <v/>
      </c>
    </row>
    <row r="11">
      <c r="B11" s="3" t="inlineStr">
        <is>
          <t>PROSSIME SCADENZE</t>
        </is>
      </c>
    </row>
    <row r="12">
      <c r="B12" s="14" t="inlineStr">
        <is>
          <t>Prestito</t>
        </is>
      </c>
      <c r="C12" s="14" t="inlineStr">
        <is>
          <t>Istituto</t>
        </is>
      </c>
      <c r="D12" s="14" t="inlineStr">
        <is>
          <t>Data Scadenza</t>
        </is>
      </c>
      <c r="E12" s="14" t="inlineStr">
        <is>
          <t>Rata</t>
        </is>
      </c>
      <c r="F12" s="14" t="inlineStr">
        <is>
          <t>Stato</t>
        </is>
      </c>
    </row>
  </sheetData>
  <mergeCells count="13">
    <mergeCell ref="B2:H2"/>
    <mergeCell ref="B3:H3"/>
    <mergeCell ref="B5:D5"/>
    <mergeCell ref="D6"/>
    <mergeCell ref="D7"/>
    <mergeCell ref="D8"/>
    <mergeCell ref="D9"/>
    <mergeCell ref="F5:H5"/>
    <mergeCell ref="G6:H6"/>
    <mergeCell ref="G7:H7"/>
    <mergeCell ref="G8:H8"/>
    <mergeCell ref="G9:H9"/>
    <mergeCell ref="B11:H1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4"/>
  <sheetViews>
    <sheetView workbookViewId="0">
      <selection activeCell="A1" sqref="A1"/>
    </sheetView>
  </sheetViews>
  <sheetFormatPr baseColWidth="8" defaultRowHeight="15"/>
  <cols>
    <col width="8" customWidth="1" min="1" max="1"/>
    <col width="20" customWidth="1" min="2" max="2"/>
    <col width="18" customWidth="1" min="3" max="3"/>
    <col width="18" customWidth="1" min="4" max="4"/>
    <col width="15" customWidth="1" min="5" max="5"/>
    <col width="15" customWidth="1" min="6" max="6"/>
    <col width="16" customWidth="1" min="7" max="7"/>
    <col width="16" customWidth="1" min="8" max="8"/>
    <col width="16" customWidth="1" min="9" max="9"/>
    <col width="15" customWidth="1" min="10" max="10"/>
    <col width="15" customWidth="1" min="11" max="11"/>
    <col width="20" customWidth="1" min="12" max="12"/>
    <col width="18" customWidth="1" min="13" max="13"/>
    <col width="30" customWidth="1" min="14" max="14"/>
  </cols>
  <sheetData>
    <row r="1">
      <c r="A1" s="15" t="inlineStr">
        <is>
          <t>ID</t>
        </is>
      </c>
      <c r="B1" s="15" t="inlineStr">
        <is>
          <t>Nome Prestito</t>
        </is>
      </c>
      <c r="C1" s="15" t="inlineStr">
        <is>
          <t>Capitale Iniziale</t>
        </is>
      </c>
      <c r="D1" s="15" t="inlineStr">
        <is>
          <t>Tasso Interesse (%)</t>
        </is>
      </c>
      <c r="E1" s="15" t="inlineStr">
        <is>
          <t>Durata (mesi)</t>
        </is>
      </c>
      <c r="F1" s="15" t="inlineStr">
        <is>
          <t>Rata Mensile</t>
        </is>
      </c>
      <c r="G1" s="15" t="inlineStr">
        <is>
          <t>Mesi Rimanenti</t>
        </is>
      </c>
      <c r="H1" s="15" t="inlineStr">
        <is>
          <t>Debito Residuo</t>
        </is>
      </c>
      <c r="I1" s="15" t="inlineStr">
        <is>
          <t>Interessi Pagati</t>
        </is>
      </c>
      <c r="J1" s="15" t="inlineStr">
        <is>
          <t>Data Inizio</t>
        </is>
      </c>
      <c r="K1" s="15" t="inlineStr">
        <is>
          <t>Data Fine</t>
        </is>
      </c>
      <c r="L1" s="15" t="inlineStr">
        <is>
          <t>Istituto Finanziario</t>
        </is>
      </c>
      <c r="M1" s="15" t="inlineStr">
        <is>
          <t>Tipo Prestito</t>
        </is>
      </c>
      <c r="N1" s="15" t="inlineStr">
        <is>
          <t>Note</t>
        </is>
      </c>
    </row>
    <row r="2">
      <c r="A2" s="16" t="n">
        <v>1</v>
      </c>
      <c r="B2" s="17" t="inlineStr">
        <is>
          <t>Mutuo Casa</t>
        </is>
      </c>
      <c r="C2" s="18" t="n">
        <v>150000</v>
      </c>
      <c r="D2" s="19" t="n">
        <v>2.5</v>
      </c>
      <c r="E2" s="16" t="n">
        <v>240</v>
      </c>
      <c r="F2" s="18">
        <f>PMT(D2/12,E2,-C2)</f>
        <v/>
      </c>
      <c r="G2" s="16" t="n">
        <v>180</v>
      </c>
      <c r="H2" s="18">
        <f>C2-PPMT(D2/12,E2-F2+1,E2,-C2)*(E2-F2)</f>
        <v/>
      </c>
      <c r="I2" s="18">
        <f>C2*(E2-F2)*(D2/12)/2</f>
        <v/>
      </c>
      <c r="J2" s="20" t="n">
        <v>43845</v>
      </c>
      <c r="K2" s="20">
        <f>DATE(YEAR(J2),MONTH(J2)+E2,DAY(J2))</f>
        <v/>
      </c>
      <c r="L2" s="17" t="inlineStr">
        <is>
          <t>Banca Nazionale</t>
        </is>
      </c>
      <c r="M2" s="17" t="inlineStr">
        <is>
          <t>Mutuo Ipotecario</t>
        </is>
      </c>
      <c r="N2" s="17" t="inlineStr">
        <is>
          <t>Prima casa</t>
        </is>
      </c>
    </row>
    <row r="3">
      <c r="A3" s="21" t="n">
        <v>2</v>
      </c>
      <c r="B3" s="22" t="inlineStr">
        <is>
          <t>Auto Nuova</t>
        </is>
      </c>
      <c r="C3" s="23" t="n">
        <v>25000</v>
      </c>
      <c r="D3" s="24" t="n">
        <v>4.5</v>
      </c>
      <c r="E3" s="21" t="n">
        <v>60</v>
      </c>
      <c r="F3" s="23">
        <f>PMT(D3/12,E3,-C3)</f>
        <v/>
      </c>
      <c r="G3" s="21" t="n">
        <v>48</v>
      </c>
      <c r="H3" s="23">
        <f>C3-PPMT(D3/12,E3-F3+1,E3,-C3)*(E3-F3)</f>
        <v/>
      </c>
      <c r="I3" s="23">
        <f>C3*(E3-F3)*(D3/12)/2</f>
        <v/>
      </c>
      <c r="J3" s="25" t="n">
        <v>44348</v>
      </c>
      <c r="K3" s="25">
        <f>DATE(YEAR(J3),MONTH(J3)+E3,DAY(J3))</f>
        <v/>
      </c>
      <c r="L3" s="22" t="inlineStr">
        <is>
          <t>Finanziaria Auto</t>
        </is>
      </c>
      <c r="M3" s="22" t="inlineStr">
        <is>
          <t>Prestito Auto</t>
        </is>
      </c>
      <c r="N3" s="22" t="inlineStr">
        <is>
          <t>SUV ibrido</t>
        </is>
      </c>
    </row>
    <row r="4">
      <c r="A4" s="16" t="n">
        <v>3</v>
      </c>
      <c r="B4" s="17" t="inlineStr">
        <is>
          <t>Ristrutturazione</t>
        </is>
      </c>
      <c r="C4" s="18" t="n">
        <v>30000</v>
      </c>
      <c r="D4" s="19" t="n">
        <v>3.8</v>
      </c>
      <c r="E4" s="16" t="n">
        <v>84</v>
      </c>
      <c r="F4" s="18">
        <f>PMT(D4/12,E4,-C4)</f>
        <v/>
      </c>
      <c r="G4" s="16" t="n">
        <v>60</v>
      </c>
      <c r="H4" s="18">
        <f>C4-PPMT(D4/12,E4-F4+1,E4,-C4)*(E4-F4)</f>
        <v/>
      </c>
      <c r="I4" s="18">
        <f>C4*(E4-F4)*(D4/12)/2</f>
        <v/>
      </c>
      <c r="J4" s="20" t="n">
        <v>44630</v>
      </c>
      <c r="K4" s="20">
        <f>DATE(YEAR(J4),MONTH(J4)+E4,DAY(J4))</f>
        <v/>
      </c>
      <c r="L4" s="17" t="inlineStr">
        <is>
          <t>Banca Popolare</t>
        </is>
      </c>
      <c r="M4" s="17" t="inlineStr">
        <is>
          <t>Prestito Personale</t>
        </is>
      </c>
      <c r="N4" s="17" t="inlineStr">
        <is>
          <t>Bagno e cucina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H69"/>
  <sheetViews>
    <sheetView workbookViewId="0">
      <selection activeCell="A1" sqref="A1"/>
    </sheetView>
  </sheetViews>
  <sheetFormatPr baseColWidth="8" defaultRowHeight="15"/>
  <cols>
    <col width="3" customWidth="1" min="1" max="1"/>
    <col width="10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2">
      <c r="B2" s="26" t="inlineStr">
        <is>
          <t>PIANO DI AMMORTAMENTO DETTAGLIATO</t>
        </is>
      </c>
    </row>
    <row r="4">
      <c r="B4" s="27" t="inlineStr">
        <is>
          <t>Seleziona Prestito:</t>
        </is>
      </c>
      <c r="C4" s="28" t="n">
        <v>1</v>
      </c>
      <c r="E4" s="27" t="inlineStr">
        <is>
          <t>Prestito:</t>
        </is>
      </c>
      <c r="F4" s="28">
        <f>VLOOKUP(C4,'Elenco Prestiti'!A:N,2,FALSE)</f>
        <v/>
      </c>
    </row>
    <row r="6">
      <c r="B6" s="27" t="inlineStr">
        <is>
          <t>Capitale:</t>
        </is>
      </c>
      <c r="C6" s="29">
        <f>VLOOKUP($C$4,'Elenco Prestiti'!A:N,3,FALSE)</f>
        <v/>
      </c>
      <c r="E6" s="27" t="inlineStr">
        <is>
          <t>Durata:</t>
        </is>
      </c>
      <c r="F6" s="30">
        <f>VLOOKUP($C$4,'Elenco Prestiti'!A:N,5,FALSE)</f>
        <v/>
      </c>
    </row>
    <row r="7">
      <c r="B7" s="27" t="inlineStr">
        <is>
          <t>Tasso:</t>
        </is>
      </c>
      <c r="C7" s="31">
        <f>VLOOKUP($C$4,'Elenco Prestiti'!A:N,4,FALSE)</f>
        <v/>
      </c>
      <c r="E7" s="27" t="inlineStr">
        <is>
          <t>Rata:</t>
        </is>
      </c>
      <c r="F7" s="29">
        <f>VLOOKUP($C$4,'Elenco Prestiti'!A:N,6,FALSE)</f>
        <v/>
      </c>
    </row>
    <row r="9">
      <c r="B9" s="15" t="inlineStr">
        <is>
          <t>Mese</t>
        </is>
      </c>
      <c r="C9" s="15" t="inlineStr">
        <is>
          <t>Data Pagamento</t>
        </is>
      </c>
      <c r="D9" s="15" t="inlineStr">
        <is>
          <t>Quota Capitale</t>
        </is>
      </c>
      <c r="E9" s="15" t="inlineStr">
        <is>
          <t>Quota Interessi</t>
        </is>
      </c>
      <c r="F9" s="15" t="inlineStr">
        <is>
          <t>Rata Totale</t>
        </is>
      </c>
      <c r="G9" s="15" t="inlineStr">
        <is>
          <t>Debito Residuo</t>
        </is>
      </c>
    </row>
    <row r="10">
      <c r="B10" s="16" t="n">
        <v>1</v>
      </c>
      <c r="C10" s="32">
        <f>DATE(YEAR(VLOOKUP($C$4,'Elenco Prestiti'!A:N,10,FALSE)),MONTH(VLOOKUP($C$4,'Elenco Prestiti'!A:N,10,FALSE))+1,DAY(VLOOKUP($C$4,'Elenco Prestiti'!A:N,10,FALSE)))</f>
        <v/>
      </c>
      <c r="D10" s="33">
        <f>IF(B10&lt;=$C$4,PPMT($C$7/12,B10,$F$6,-$C$6),0)</f>
        <v/>
      </c>
      <c r="E10" s="33">
        <f>IF(B10&lt;=$C$4,IPMT($C$7/12,B10,$F$6,-$C$6),0)</f>
        <v/>
      </c>
      <c r="F10" s="33">
        <f>IF(B10&lt;=$C$4,D10+E10,0)</f>
        <v/>
      </c>
      <c r="G10" s="33">
        <f>IF(B10=1,$C$6,IF(B10&lt;=$C$4,G9-D10,0))</f>
        <v/>
      </c>
    </row>
    <row r="11">
      <c r="B11" s="21" t="n">
        <v>2</v>
      </c>
      <c r="C11" s="34">
        <f>DATE(YEAR(VLOOKUP($C$4,'Elenco Prestiti'!A:N,10,FALSE)),MONTH(VLOOKUP($C$4,'Elenco Prestiti'!A:N,10,FALSE))+2,DAY(VLOOKUP($C$4,'Elenco Prestiti'!A:N,10,FALSE)))</f>
        <v/>
      </c>
      <c r="D11" s="35">
        <f>IF(B11&lt;=$C$4,PPMT($C$7/12,B11,$F$6,-$C$6),0)</f>
        <v/>
      </c>
      <c r="E11" s="35">
        <f>IF(B11&lt;=$C$4,IPMT($C$7/12,B11,$F$6,-$C$6),0)</f>
        <v/>
      </c>
      <c r="F11" s="35">
        <f>IF(B11&lt;=$C$4,D11+E11,0)</f>
        <v/>
      </c>
      <c r="G11" s="35">
        <f>IF(B11=1,$C$6,IF(B11&lt;=$C$4,G10-D11,0))</f>
        <v/>
      </c>
    </row>
    <row r="12">
      <c r="B12" s="16" t="n">
        <v>3</v>
      </c>
      <c r="C12" s="32">
        <f>DATE(YEAR(VLOOKUP($C$4,'Elenco Prestiti'!A:N,10,FALSE)),MONTH(VLOOKUP($C$4,'Elenco Prestiti'!A:N,10,FALSE))+3,DAY(VLOOKUP($C$4,'Elenco Prestiti'!A:N,10,FALSE)))</f>
        <v/>
      </c>
      <c r="D12" s="33">
        <f>IF(B12&lt;=$C$4,PPMT($C$7/12,B12,$F$6,-$C$6),0)</f>
        <v/>
      </c>
      <c r="E12" s="33">
        <f>IF(B12&lt;=$C$4,IPMT($C$7/12,B12,$F$6,-$C$6),0)</f>
        <v/>
      </c>
      <c r="F12" s="33">
        <f>IF(B12&lt;=$C$4,D12+E12,0)</f>
        <v/>
      </c>
      <c r="G12" s="33">
        <f>IF(B12=1,$C$6,IF(B12&lt;=$C$4,G11-D12,0))</f>
        <v/>
      </c>
    </row>
    <row r="13">
      <c r="B13" s="21" t="n">
        <v>4</v>
      </c>
      <c r="C13" s="34">
        <f>DATE(YEAR(VLOOKUP($C$4,'Elenco Prestiti'!A:N,10,FALSE)),MONTH(VLOOKUP($C$4,'Elenco Prestiti'!A:N,10,FALSE))+4,DAY(VLOOKUP($C$4,'Elenco Prestiti'!A:N,10,FALSE)))</f>
        <v/>
      </c>
      <c r="D13" s="35">
        <f>IF(B13&lt;=$C$4,PPMT($C$7/12,B13,$F$6,-$C$6),0)</f>
        <v/>
      </c>
      <c r="E13" s="35">
        <f>IF(B13&lt;=$C$4,IPMT($C$7/12,B13,$F$6,-$C$6),0)</f>
        <v/>
      </c>
      <c r="F13" s="35">
        <f>IF(B13&lt;=$C$4,D13+E13,0)</f>
        <v/>
      </c>
      <c r="G13" s="35">
        <f>IF(B13=1,$C$6,IF(B13&lt;=$C$4,G12-D13,0))</f>
        <v/>
      </c>
    </row>
    <row r="14">
      <c r="B14" s="16" t="n">
        <v>5</v>
      </c>
      <c r="C14" s="32">
        <f>DATE(YEAR(VLOOKUP($C$4,'Elenco Prestiti'!A:N,10,FALSE)),MONTH(VLOOKUP($C$4,'Elenco Prestiti'!A:N,10,FALSE))+5,DAY(VLOOKUP($C$4,'Elenco Prestiti'!A:N,10,FALSE)))</f>
        <v/>
      </c>
      <c r="D14" s="33">
        <f>IF(B14&lt;=$C$4,PPMT($C$7/12,B14,$F$6,-$C$6),0)</f>
        <v/>
      </c>
      <c r="E14" s="33">
        <f>IF(B14&lt;=$C$4,IPMT($C$7/12,B14,$F$6,-$C$6),0)</f>
        <v/>
      </c>
      <c r="F14" s="33">
        <f>IF(B14&lt;=$C$4,D14+E14,0)</f>
        <v/>
      </c>
      <c r="G14" s="33">
        <f>IF(B14=1,$C$6,IF(B14&lt;=$C$4,G13-D14,0))</f>
        <v/>
      </c>
    </row>
    <row r="15">
      <c r="B15" s="21" t="n">
        <v>6</v>
      </c>
      <c r="C15" s="34">
        <f>DATE(YEAR(VLOOKUP($C$4,'Elenco Prestiti'!A:N,10,FALSE)),MONTH(VLOOKUP($C$4,'Elenco Prestiti'!A:N,10,FALSE))+6,DAY(VLOOKUP($C$4,'Elenco Prestiti'!A:N,10,FALSE)))</f>
        <v/>
      </c>
      <c r="D15" s="35">
        <f>IF(B15&lt;=$C$4,PPMT($C$7/12,B15,$F$6,-$C$6),0)</f>
        <v/>
      </c>
      <c r="E15" s="35">
        <f>IF(B15&lt;=$C$4,IPMT($C$7/12,B15,$F$6,-$C$6),0)</f>
        <v/>
      </c>
      <c r="F15" s="35">
        <f>IF(B15&lt;=$C$4,D15+E15,0)</f>
        <v/>
      </c>
      <c r="G15" s="35">
        <f>IF(B15=1,$C$6,IF(B15&lt;=$C$4,G14-D15,0))</f>
        <v/>
      </c>
    </row>
    <row r="16">
      <c r="B16" s="16" t="n">
        <v>7</v>
      </c>
      <c r="C16" s="32">
        <f>DATE(YEAR(VLOOKUP($C$4,'Elenco Prestiti'!A:N,10,FALSE)),MONTH(VLOOKUP($C$4,'Elenco Prestiti'!A:N,10,FALSE))+7,DAY(VLOOKUP($C$4,'Elenco Prestiti'!A:N,10,FALSE)))</f>
        <v/>
      </c>
      <c r="D16" s="33">
        <f>IF(B16&lt;=$C$4,PPMT($C$7/12,B16,$F$6,-$C$6),0)</f>
        <v/>
      </c>
      <c r="E16" s="33">
        <f>IF(B16&lt;=$C$4,IPMT($C$7/12,B16,$F$6,-$C$6),0)</f>
        <v/>
      </c>
      <c r="F16" s="33">
        <f>IF(B16&lt;=$C$4,D16+E16,0)</f>
        <v/>
      </c>
      <c r="G16" s="33">
        <f>IF(B16=1,$C$6,IF(B16&lt;=$C$4,G15-D16,0))</f>
        <v/>
      </c>
    </row>
    <row r="17">
      <c r="B17" s="21" t="n">
        <v>8</v>
      </c>
      <c r="C17" s="34">
        <f>DATE(YEAR(VLOOKUP($C$4,'Elenco Prestiti'!A:N,10,FALSE)),MONTH(VLOOKUP($C$4,'Elenco Prestiti'!A:N,10,FALSE))+8,DAY(VLOOKUP($C$4,'Elenco Prestiti'!A:N,10,FALSE)))</f>
        <v/>
      </c>
      <c r="D17" s="35">
        <f>IF(B17&lt;=$C$4,PPMT($C$7/12,B17,$F$6,-$C$6),0)</f>
        <v/>
      </c>
      <c r="E17" s="35">
        <f>IF(B17&lt;=$C$4,IPMT($C$7/12,B17,$F$6,-$C$6),0)</f>
        <v/>
      </c>
      <c r="F17" s="35">
        <f>IF(B17&lt;=$C$4,D17+E17,0)</f>
        <v/>
      </c>
      <c r="G17" s="35">
        <f>IF(B17=1,$C$6,IF(B17&lt;=$C$4,G16-D17,0))</f>
        <v/>
      </c>
    </row>
    <row r="18">
      <c r="B18" s="16" t="n">
        <v>9</v>
      </c>
      <c r="C18" s="32">
        <f>DATE(YEAR(VLOOKUP($C$4,'Elenco Prestiti'!A:N,10,FALSE)),MONTH(VLOOKUP($C$4,'Elenco Prestiti'!A:N,10,FALSE))+9,DAY(VLOOKUP($C$4,'Elenco Prestiti'!A:N,10,FALSE)))</f>
        <v/>
      </c>
      <c r="D18" s="33">
        <f>IF(B18&lt;=$C$4,PPMT($C$7/12,B18,$F$6,-$C$6),0)</f>
        <v/>
      </c>
      <c r="E18" s="33">
        <f>IF(B18&lt;=$C$4,IPMT($C$7/12,B18,$F$6,-$C$6),0)</f>
        <v/>
      </c>
      <c r="F18" s="33">
        <f>IF(B18&lt;=$C$4,D18+E18,0)</f>
        <v/>
      </c>
      <c r="G18" s="33">
        <f>IF(B18=1,$C$6,IF(B18&lt;=$C$4,G17-D18,0))</f>
        <v/>
      </c>
    </row>
    <row r="19">
      <c r="B19" s="21" t="n">
        <v>10</v>
      </c>
      <c r="C19" s="34">
        <f>DATE(YEAR(VLOOKUP($C$4,'Elenco Prestiti'!A:N,10,FALSE)),MONTH(VLOOKUP($C$4,'Elenco Prestiti'!A:N,10,FALSE))+10,DAY(VLOOKUP($C$4,'Elenco Prestiti'!A:N,10,FALSE)))</f>
        <v/>
      </c>
      <c r="D19" s="35">
        <f>IF(B19&lt;=$C$4,PPMT($C$7/12,B19,$F$6,-$C$6),0)</f>
        <v/>
      </c>
      <c r="E19" s="35">
        <f>IF(B19&lt;=$C$4,IPMT($C$7/12,B19,$F$6,-$C$6),0)</f>
        <v/>
      </c>
      <c r="F19" s="35">
        <f>IF(B19&lt;=$C$4,D19+E19,0)</f>
        <v/>
      </c>
      <c r="G19" s="35">
        <f>IF(B19=1,$C$6,IF(B19&lt;=$C$4,G18-D19,0))</f>
        <v/>
      </c>
    </row>
    <row r="20">
      <c r="B20" s="16" t="n">
        <v>11</v>
      </c>
      <c r="C20" s="32">
        <f>DATE(YEAR(VLOOKUP($C$4,'Elenco Prestiti'!A:N,10,FALSE)),MONTH(VLOOKUP($C$4,'Elenco Prestiti'!A:N,10,FALSE))+11,DAY(VLOOKUP($C$4,'Elenco Prestiti'!A:N,10,FALSE)))</f>
        <v/>
      </c>
      <c r="D20" s="33">
        <f>IF(B20&lt;=$C$4,PPMT($C$7/12,B20,$F$6,-$C$6),0)</f>
        <v/>
      </c>
      <c r="E20" s="33">
        <f>IF(B20&lt;=$C$4,IPMT($C$7/12,B20,$F$6,-$C$6),0)</f>
        <v/>
      </c>
      <c r="F20" s="33">
        <f>IF(B20&lt;=$C$4,D20+E20,0)</f>
        <v/>
      </c>
      <c r="G20" s="33">
        <f>IF(B20=1,$C$6,IF(B20&lt;=$C$4,G19-D20,0))</f>
        <v/>
      </c>
    </row>
    <row r="21">
      <c r="B21" s="21" t="n">
        <v>12</v>
      </c>
      <c r="C21" s="34">
        <f>DATE(YEAR(VLOOKUP($C$4,'Elenco Prestiti'!A:N,10,FALSE)),MONTH(VLOOKUP($C$4,'Elenco Prestiti'!A:N,10,FALSE))+12,DAY(VLOOKUP($C$4,'Elenco Prestiti'!A:N,10,FALSE)))</f>
        <v/>
      </c>
      <c r="D21" s="35">
        <f>IF(B21&lt;=$C$4,PPMT($C$7/12,B21,$F$6,-$C$6),0)</f>
        <v/>
      </c>
      <c r="E21" s="35">
        <f>IF(B21&lt;=$C$4,IPMT($C$7/12,B21,$F$6,-$C$6),0)</f>
        <v/>
      </c>
      <c r="F21" s="35">
        <f>IF(B21&lt;=$C$4,D21+E21,0)</f>
        <v/>
      </c>
      <c r="G21" s="35">
        <f>IF(B21=1,$C$6,IF(B21&lt;=$C$4,G20-D21,0))</f>
        <v/>
      </c>
    </row>
    <row r="22">
      <c r="B22" s="16" t="n">
        <v>13</v>
      </c>
      <c r="C22" s="32">
        <f>DATE(YEAR(VLOOKUP($C$4,'Elenco Prestiti'!A:N,10,FALSE)),MONTH(VLOOKUP($C$4,'Elenco Prestiti'!A:N,10,FALSE))+13,DAY(VLOOKUP($C$4,'Elenco Prestiti'!A:N,10,FALSE)))</f>
        <v/>
      </c>
      <c r="D22" s="33">
        <f>IF(B22&lt;=$C$4,PPMT($C$7/12,B22,$F$6,-$C$6),0)</f>
        <v/>
      </c>
      <c r="E22" s="33">
        <f>IF(B22&lt;=$C$4,IPMT($C$7/12,B22,$F$6,-$C$6),0)</f>
        <v/>
      </c>
      <c r="F22" s="33">
        <f>IF(B22&lt;=$C$4,D22+E22,0)</f>
        <v/>
      </c>
      <c r="G22" s="33">
        <f>IF(B22=1,$C$6,IF(B22&lt;=$C$4,G21-D22,0))</f>
        <v/>
      </c>
    </row>
    <row r="23">
      <c r="B23" s="21" t="n">
        <v>14</v>
      </c>
      <c r="C23" s="34">
        <f>DATE(YEAR(VLOOKUP($C$4,'Elenco Prestiti'!A:N,10,FALSE)),MONTH(VLOOKUP($C$4,'Elenco Prestiti'!A:N,10,FALSE))+14,DAY(VLOOKUP($C$4,'Elenco Prestiti'!A:N,10,FALSE)))</f>
        <v/>
      </c>
      <c r="D23" s="35">
        <f>IF(B23&lt;=$C$4,PPMT($C$7/12,B23,$F$6,-$C$6),0)</f>
        <v/>
      </c>
      <c r="E23" s="35">
        <f>IF(B23&lt;=$C$4,IPMT($C$7/12,B23,$F$6,-$C$6),0)</f>
        <v/>
      </c>
      <c r="F23" s="35">
        <f>IF(B23&lt;=$C$4,D23+E23,0)</f>
        <v/>
      </c>
      <c r="G23" s="35">
        <f>IF(B23=1,$C$6,IF(B23&lt;=$C$4,G22-D23,0))</f>
        <v/>
      </c>
    </row>
    <row r="24">
      <c r="B24" s="16" t="n">
        <v>15</v>
      </c>
      <c r="C24" s="32">
        <f>DATE(YEAR(VLOOKUP($C$4,'Elenco Prestiti'!A:N,10,FALSE)),MONTH(VLOOKUP($C$4,'Elenco Prestiti'!A:N,10,FALSE))+15,DAY(VLOOKUP($C$4,'Elenco Prestiti'!A:N,10,FALSE)))</f>
        <v/>
      </c>
      <c r="D24" s="33">
        <f>IF(B24&lt;=$C$4,PPMT($C$7/12,B24,$F$6,-$C$6),0)</f>
        <v/>
      </c>
      <c r="E24" s="33">
        <f>IF(B24&lt;=$C$4,IPMT($C$7/12,B24,$F$6,-$C$6),0)</f>
        <v/>
      </c>
      <c r="F24" s="33">
        <f>IF(B24&lt;=$C$4,D24+E24,0)</f>
        <v/>
      </c>
      <c r="G24" s="33">
        <f>IF(B24=1,$C$6,IF(B24&lt;=$C$4,G23-D24,0))</f>
        <v/>
      </c>
    </row>
    <row r="25">
      <c r="B25" s="21" t="n">
        <v>16</v>
      </c>
      <c r="C25" s="34">
        <f>DATE(YEAR(VLOOKUP($C$4,'Elenco Prestiti'!A:N,10,FALSE)),MONTH(VLOOKUP($C$4,'Elenco Prestiti'!A:N,10,FALSE))+16,DAY(VLOOKUP($C$4,'Elenco Prestiti'!A:N,10,FALSE)))</f>
        <v/>
      </c>
      <c r="D25" s="35">
        <f>IF(B25&lt;=$C$4,PPMT($C$7/12,B25,$F$6,-$C$6),0)</f>
        <v/>
      </c>
      <c r="E25" s="35">
        <f>IF(B25&lt;=$C$4,IPMT($C$7/12,B25,$F$6,-$C$6),0)</f>
        <v/>
      </c>
      <c r="F25" s="35">
        <f>IF(B25&lt;=$C$4,D25+E25,0)</f>
        <v/>
      </c>
      <c r="G25" s="35">
        <f>IF(B25=1,$C$6,IF(B25&lt;=$C$4,G24-D25,0))</f>
        <v/>
      </c>
    </row>
    <row r="26">
      <c r="B26" s="16" t="n">
        <v>17</v>
      </c>
      <c r="C26" s="32">
        <f>DATE(YEAR(VLOOKUP($C$4,'Elenco Prestiti'!A:N,10,FALSE)),MONTH(VLOOKUP($C$4,'Elenco Prestiti'!A:N,10,FALSE))+17,DAY(VLOOKUP($C$4,'Elenco Prestiti'!A:N,10,FALSE)))</f>
        <v/>
      </c>
      <c r="D26" s="33">
        <f>IF(B26&lt;=$C$4,PPMT($C$7/12,B26,$F$6,-$C$6),0)</f>
        <v/>
      </c>
      <c r="E26" s="33">
        <f>IF(B26&lt;=$C$4,IPMT($C$7/12,B26,$F$6,-$C$6),0)</f>
        <v/>
      </c>
      <c r="F26" s="33">
        <f>IF(B26&lt;=$C$4,D26+E26,0)</f>
        <v/>
      </c>
      <c r="G26" s="33">
        <f>IF(B26=1,$C$6,IF(B26&lt;=$C$4,G25-D26,0))</f>
        <v/>
      </c>
    </row>
    <row r="27">
      <c r="B27" s="21" t="n">
        <v>18</v>
      </c>
      <c r="C27" s="34">
        <f>DATE(YEAR(VLOOKUP($C$4,'Elenco Prestiti'!A:N,10,FALSE)),MONTH(VLOOKUP($C$4,'Elenco Prestiti'!A:N,10,FALSE))+18,DAY(VLOOKUP($C$4,'Elenco Prestiti'!A:N,10,FALSE)))</f>
        <v/>
      </c>
      <c r="D27" s="35">
        <f>IF(B27&lt;=$C$4,PPMT($C$7/12,B27,$F$6,-$C$6),0)</f>
        <v/>
      </c>
      <c r="E27" s="35">
        <f>IF(B27&lt;=$C$4,IPMT($C$7/12,B27,$F$6,-$C$6),0)</f>
        <v/>
      </c>
      <c r="F27" s="35">
        <f>IF(B27&lt;=$C$4,D27+E27,0)</f>
        <v/>
      </c>
      <c r="G27" s="35">
        <f>IF(B27=1,$C$6,IF(B27&lt;=$C$4,G26-D27,0))</f>
        <v/>
      </c>
    </row>
    <row r="28">
      <c r="B28" s="16" t="n">
        <v>19</v>
      </c>
      <c r="C28" s="32">
        <f>DATE(YEAR(VLOOKUP($C$4,'Elenco Prestiti'!A:N,10,FALSE)),MONTH(VLOOKUP($C$4,'Elenco Prestiti'!A:N,10,FALSE))+19,DAY(VLOOKUP($C$4,'Elenco Prestiti'!A:N,10,FALSE)))</f>
        <v/>
      </c>
      <c r="D28" s="33">
        <f>IF(B28&lt;=$C$4,PPMT($C$7/12,B28,$F$6,-$C$6),0)</f>
        <v/>
      </c>
      <c r="E28" s="33">
        <f>IF(B28&lt;=$C$4,IPMT($C$7/12,B28,$F$6,-$C$6),0)</f>
        <v/>
      </c>
      <c r="F28" s="33">
        <f>IF(B28&lt;=$C$4,D28+E28,0)</f>
        <v/>
      </c>
      <c r="G28" s="33">
        <f>IF(B28=1,$C$6,IF(B28&lt;=$C$4,G27-D28,0))</f>
        <v/>
      </c>
    </row>
    <row r="29">
      <c r="B29" s="21" t="n">
        <v>20</v>
      </c>
      <c r="C29" s="34">
        <f>DATE(YEAR(VLOOKUP($C$4,'Elenco Prestiti'!A:N,10,FALSE)),MONTH(VLOOKUP($C$4,'Elenco Prestiti'!A:N,10,FALSE))+20,DAY(VLOOKUP($C$4,'Elenco Prestiti'!A:N,10,FALSE)))</f>
        <v/>
      </c>
      <c r="D29" s="35">
        <f>IF(B29&lt;=$C$4,PPMT($C$7/12,B29,$F$6,-$C$6),0)</f>
        <v/>
      </c>
      <c r="E29" s="35">
        <f>IF(B29&lt;=$C$4,IPMT($C$7/12,B29,$F$6,-$C$6),0)</f>
        <v/>
      </c>
      <c r="F29" s="35">
        <f>IF(B29&lt;=$C$4,D29+E29,0)</f>
        <v/>
      </c>
      <c r="G29" s="35">
        <f>IF(B29=1,$C$6,IF(B29&lt;=$C$4,G28-D29,0))</f>
        <v/>
      </c>
    </row>
    <row r="30">
      <c r="B30" s="16" t="n">
        <v>21</v>
      </c>
      <c r="C30" s="32">
        <f>DATE(YEAR(VLOOKUP($C$4,'Elenco Prestiti'!A:N,10,FALSE)),MONTH(VLOOKUP($C$4,'Elenco Prestiti'!A:N,10,FALSE))+21,DAY(VLOOKUP($C$4,'Elenco Prestiti'!A:N,10,FALSE)))</f>
        <v/>
      </c>
      <c r="D30" s="33">
        <f>IF(B30&lt;=$C$4,PPMT($C$7/12,B30,$F$6,-$C$6),0)</f>
        <v/>
      </c>
      <c r="E30" s="33">
        <f>IF(B30&lt;=$C$4,IPMT($C$7/12,B30,$F$6,-$C$6),0)</f>
        <v/>
      </c>
      <c r="F30" s="33">
        <f>IF(B30&lt;=$C$4,D30+E30,0)</f>
        <v/>
      </c>
      <c r="G30" s="33">
        <f>IF(B30=1,$C$6,IF(B30&lt;=$C$4,G29-D30,0))</f>
        <v/>
      </c>
    </row>
    <row r="31">
      <c r="B31" s="21" t="n">
        <v>22</v>
      </c>
      <c r="C31" s="34">
        <f>DATE(YEAR(VLOOKUP($C$4,'Elenco Prestiti'!A:N,10,FALSE)),MONTH(VLOOKUP($C$4,'Elenco Prestiti'!A:N,10,FALSE))+22,DAY(VLOOKUP($C$4,'Elenco Prestiti'!A:N,10,FALSE)))</f>
        <v/>
      </c>
      <c r="D31" s="35">
        <f>IF(B31&lt;=$C$4,PPMT($C$7/12,B31,$F$6,-$C$6),0)</f>
        <v/>
      </c>
      <c r="E31" s="35">
        <f>IF(B31&lt;=$C$4,IPMT($C$7/12,B31,$F$6,-$C$6),0)</f>
        <v/>
      </c>
      <c r="F31" s="35">
        <f>IF(B31&lt;=$C$4,D31+E31,0)</f>
        <v/>
      </c>
      <c r="G31" s="35">
        <f>IF(B31=1,$C$6,IF(B31&lt;=$C$4,G30-D31,0))</f>
        <v/>
      </c>
    </row>
    <row r="32">
      <c r="B32" s="16" t="n">
        <v>23</v>
      </c>
      <c r="C32" s="32">
        <f>DATE(YEAR(VLOOKUP($C$4,'Elenco Prestiti'!A:N,10,FALSE)),MONTH(VLOOKUP($C$4,'Elenco Prestiti'!A:N,10,FALSE))+23,DAY(VLOOKUP($C$4,'Elenco Prestiti'!A:N,10,FALSE)))</f>
        <v/>
      </c>
      <c r="D32" s="33">
        <f>IF(B32&lt;=$C$4,PPMT($C$7/12,B32,$F$6,-$C$6),0)</f>
        <v/>
      </c>
      <c r="E32" s="33">
        <f>IF(B32&lt;=$C$4,IPMT($C$7/12,B32,$F$6,-$C$6),0)</f>
        <v/>
      </c>
      <c r="F32" s="33">
        <f>IF(B32&lt;=$C$4,D32+E32,0)</f>
        <v/>
      </c>
      <c r="G32" s="33">
        <f>IF(B32=1,$C$6,IF(B32&lt;=$C$4,G31-D32,0))</f>
        <v/>
      </c>
    </row>
    <row r="33">
      <c r="B33" s="21" t="n">
        <v>24</v>
      </c>
      <c r="C33" s="34">
        <f>DATE(YEAR(VLOOKUP($C$4,'Elenco Prestiti'!A:N,10,FALSE)),MONTH(VLOOKUP($C$4,'Elenco Prestiti'!A:N,10,FALSE))+24,DAY(VLOOKUP($C$4,'Elenco Prestiti'!A:N,10,FALSE)))</f>
        <v/>
      </c>
      <c r="D33" s="35">
        <f>IF(B33&lt;=$C$4,PPMT($C$7/12,B33,$F$6,-$C$6),0)</f>
        <v/>
      </c>
      <c r="E33" s="35">
        <f>IF(B33&lt;=$C$4,IPMT($C$7/12,B33,$F$6,-$C$6),0)</f>
        <v/>
      </c>
      <c r="F33" s="35">
        <f>IF(B33&lt;=$C$4,D33+E33,0)</f>
        <v/>
      </c>
      <c r="G33" s="35">
        <f>IF(B33=1,$C$6,IF(B33&lt;=$C$4,G32-D33,0))</f>
        <v/>
      </c>
    </row>
    <row r="34">
      <c r="B34" s="16" t="n">
        <v>25</v>
      </c>
      <c r="C34" s="32">
        <f>DATE(YEAR(VLOOKUP($C$4,'Elenco Prestiti'!A:N,10,FALSE)),MONTH(VLOOKUP($C$4,'Elenco Prestiti'!A:N,10,FALSE))+25,DAY(VLOOKUP($C$4,'Elenco Prestiti'!A:N,10,FALSE)))</f>
        <v/>
      </c>
      <c r="D34" s="33">
        <f>IF(B34&lt;=$C$4,PPMT($C$7/12,B34,$F$6,-$C$6),0)</f>
        <v/>
      </c>
      <c r="E34" s="33">
        <f>IF(B34&lt;=$C$4,IPMT($C$7/12,B34,$F$6,-$C$6),0)</f>
        <v/>
      </c>
      <c r="F34" s="33">
        <f>IF(B34&lt;=$C$4,D34+E34,0)</f>
        <v/>
      </c>
      <c r="G34" s="33">
        <f>IF(B34=1,$C$6,IF(B34&lt;=$C$4,G33-D34,0))</f>
        <v/>
      </c>
    </row>
    <row r="35">
      <c r="B35" s="21" t="n">
        <v>26</v>
      </c>
      <c r="C35" s="34">
        <f>DATE(YEAR(VLOOKUP($C$4,'Elenco Prestiti'!A:N,10,FALSE)),MONTH(VLOOKUP($C$4,'Elenco Prestiti'!A:N,10,FALSE))+26,DAY(VLOOKUP($C$4,'Elenco Prestiti'!A:N,10,FALSE)))</f>
        <v/>
      </c>
      <c r="D35" s="35">
        <f>IF(B35&lt;=$C$4,PPMT($C$7/12,B35,$F$6,-$C$6),0)</f>
        <v/>
      </c>
      <c r="E35" s="35">
        <f>IF(B35&lt;=$C$4,IPMT($C$7/12,B35,$F$6,-$C$6),0)</f>
        <v/>
      </c>
      <c r="F35" s="35">
        <f>IF(B35&lt;=$C$4,D35+E35,0)</f>
        <v/>
      </c>
      <c r="G35" s="35">
        <f>IF(B35=1,$C$6,IF(B35&lt;=$C$4,G34-D35,0))</f>
        <v/>
      </c>
    </row>
    <row r="36">
      <c r="B36" s="16" t="n">
        <v>27</v>
      </c>
      <c r="C36" s="32">
        <f>DATE(YEAR(VLOOKUP($C$4,'Elenco Prestiti'!A:N,10,FALSE)),MONTH(VLOOKUP($C$4,'Elenco Prestiti'!A:N,10,FALSE))+27,DAY(VLOOKUP($C$4,'Elenco Prestiti'!A:N,10,FALSE)))</f>
        <v/>
      </c>
      <c r="D36" s="33">
        <f>IF(B36&lt;=$C$4,PPMT($C$7/12,B36,$F$6,-$C$6),0)</f>
        <v/>
      </c>
      <c r="E36" s="33">
        <f>IF(B36&lt;=$C$4,IPMT($C$7/12,B36,$F$6,-$C$6),0)</f>
        <v/>
      </c>
      <c r="F36" s="33">
        <f>IF(B36&lt;=$C$4,D36+E36,0)</f>
        <v/>
      </c>
      <c r="G36" s="33">
        <f>IF(B36=1,$C$6,IF(B36&lt;=$C$4,G35-D36,0))</f>
        <v/>
      </c>
    </row>
    <row r="37">
      <c r="B37" s="21" t="n">
        <v>28</v>
      </c>
      <c r="C37" s="34">
        <f>DATE(YEAR(VLOOKUP($C$4,'Elenco Prestiti'!A:N,10,FALSE)),MONTH(VLOOKUP($C$4,'Elenco Prestiti'!A:N,10,FALSE))+28,DAY(VLOOKUP($C$4,'Elenco Prestiti'!A:N,10,FALSE)))</f>
        <v/>
      </c>
      <c r="D37" s="35">
        <f>IF(B37&lt;=$C$4,PPMT($C$7/12,B37,$F$6,-$C$6),0)</f>
        <v/>
      </c>
      <c r="E37" s="35">
        <f>IF(B37&lt;=$C$4,IPMT($C$7/12,B37,$F$6,-$C$6),0)</f>
        <v/>
      </c>
      <c r="F37" s="35">
        <f>IF(B37&lt;=$C$4,D37+E37,0)</f>
        <v/>
      </c>
      <c r="G37" s="35">
        <f>IF(B37=1,$C$6,IF(B37&lt;=$C$4,G36-D37,0))</f>
        <v/>
      </c>
    </row>
    <row r="38">
      <c r="B38" s="16" t="n">
        <v>29</v>
      </c>
      <c r="C38" s="32">
        <f>DATE(YEAR(VLOOKUP($C$4,'Elenco Prestiti'!A:N,10,FALSE)),MONTH(VLOOKUP($C$4,'Elenco Prestiti'!A:N,10,FALSE))+29,DAY(VLOOKUP($C$4,'Elenco Prestiti'!A:N,10,FALSE)))</f>
        <v/>
      </c>
      <c r="D38" s="33">
        <f>IF(B38&lt;=$C$4,PPMT($C$7/12,B38,$F$6,-$C$6),0)</f>
        <v/>
      </c>
      <c r="E38" s="33">
        <f>IF(B38&lt;=$C$4,IPMT($C$7/12,B38,$F$6,-$C$6),0)</f>
        <v/>
      </c>
      <c r="F38" s="33">
        <f>IF(B38&lt;=$C$4,D38+E38,0)</f>
        <v/>
      </c>
      <c r="G38" s="33">
        <f>IF(B38=1,$C$6,IF(B38&lt;=$C$4,G37-D38,0))</f>
        <v/>
      </c>
    </row>
    <row r="39">
      <c r="B39" s="21" t="n">
        <v>30</v>
      </c>
      <c r="C39" s="34">
        <f>DATE(YEAR(VLOOKUP($C$4,'Elenco Prestiti'!A:N,10,FALSE)),MONTH(VLOOKUP($C$4,'Elenco Prestiti'!A:N,10,FALSE))+30,DAY(VLOOKUP($C$4,'Elenco Prestiti'!A:N,10,FALSE)))</f>
        <v/>
      </c>
      <c r="D39" s="35">
        <f>IF(B39&lt;=$C$4,PPMT($C$7/12,B39,$F$6,-$C$6),0)</f>
        <v/>
      </c>
      <c r="E39" s="35">
        <f>IF(B39&lt;=$C$4,IPMT($C$7/12,B39,$F$6,-$C$6),0)</f>
        <v/>
      </c>
      <c r="F39" s="35">
        <f>IF(B39&lt;=$C$4,D39+E39,0)</f>
        <v/>
      </c>
      <c r="G39" s="35">
        <f>IF(B39=1,$C$6,IF(B39&lt;=$C$4,G38-D39,0))</f>
        <v/>
      </c>
    </row>
    <row r="40">
      <c r="B40" s="16" t="n">
        <v>31</v>
      </c>
      <c r="C40" s="32">
        <f>DATE(YEAR(VLOOKUP($C$4,'Elenco Prestiti'!A:N,10,FALSE)),MONTH(VLOOKUP($C$4,'Elenco Prestiti'!A:N,10,FALSE))+31,DAY(VLOOKUP($C$4,'Elenco Prestiti'!A:N,10,FALSE)))</f>
        <v/>
      </c>
      <c r="D40" s="33">
        <f>IF(B40&lt;=$C$4,PPMT($C$7/12,B40,$F$6,-$C$6),0)</f>
        <v/>
      </c>
      <c r="E40" s="33">
        <f>IF(B40&lt;=$C$4,IPMT($C$7/12,B40,$F$6,-$C$6),0)</f>
        <v/>
      </c>
      <c r="F40" s="33">
        <f>IF(B40&lt;=$C$4,D40+E40,0)</f>
        <v/>
      </c>
      <c r="G40" s="33">
        <f>IF(B40=1,$C$6,IF(B40&lt;=$C$4,G39-D40,0))</f>
        <v/>
      </c>
    </row>
    <row r="41">
      <c r="B41" s="21" t="n">
        <v>32</v>
      </c>
      <c r="C41" s="34">
        <f>DATE(YEAR(VLOOKUP($C$4,'Elenco Prestiti'!A:N,10,FALSE)),MONTH(VLOOKUP($C$4,'Elenco Prestiti'!A:N,10,FALSE))+32,DAY(VLOOKUP($C$4,'Elenco Prestiti'!A:N,10,FALSE)))</f>
        <v/>
      </c>
      <c r="D41" s="35">
        <f>IF(B41&lt;=$C$4,PPMT($C$7/12,B41,$F$6,-$C$6),0)</f>
        <v/>
      </c>
      <c r="E41" s="35">
        <f>IF(B41&lt;=$C$4,IPMT($C$7/12,B41,$F$6,-$C$6),0)</f>
        <v/>
      </c>
      <c r="F41" s="35">
        <f>IF(B41&lt;=$C$4,D41+E41,0)</f>
        <v/>
      </c>
      <c r="G41" s="35">
        <f>IF(B41=1,$C$6,IF(B41&lt;=$C$4,G40-D41,0))</f>
        <v/>
      </c>
    </row>
    <row r="42">
      <c r="B42" s="16" t="n">
        <v>33</v>
      </c>
      <c r="C42" s="32">
        <f>DATE(YEAR(VLOOKUP($C$4,'Elenco Prestiti'!A:N,10,FALSE)),MONTH(VLOOKUP($C$4,'Elenco Prestiti'!A:N,10,FALSE))+33,DAY(VLOOKUP($C$4,'Elenco Prestiti'!A:N,10,FALSE)))</f>
        <v/>
      </c>
      <c r="D42" s="33">
        <f>IF(B42&lt;=$C$4,PPMT($C$7/12,B42,$F$6,-$C$6),0)</f>
        <v/>
      </c>
      <c r="E42" s="33">
        <f>IF(B42&lt;=$C$4,IPMT($C$7/12,B42,$F$6,-$C$6),0)</f>
        <v/>
      </c>
      <c r="F42" s="33">
        <f>IF(B42&lt;=$C$4,D42+E42,0)</f>
        <v/>
      </c>
      <c r="G42" s="33">
        <f>IF(B42=1,$C$6,IF(B42&lt;=$C$4,G41-D42,0))</f>
        <v/>
      </c>
    </row>
    <row r="43">
      <c r="B43" s="21" t="n">
        <v>34</v>
      </c>
      <c r="C43" s="34">
        <f>DATE(YEAR(VLOOKUP($C$4,'Elenco Prestiti'!A:N,10,FALSE)),MONTH(VLOOKUP($C$4,'Elenco Prestiti'!A:N,10,FALSE))+34,DAY(VLOOKUP($C$4,'Elenco Prestiti'!A:N,10,FALSE)))</f>
        <v/>
      </c>
      <c r="D43" s="35">
        <f>IF(B43&lt;=$C$4,PPMT($C$7/12,B43,$F$6,-$C$6),0)</f>
        <v/>
      </c>
      <c r="E43" s="35">
        <f>IF(B43&lt;=$C$4,IPMT($C$7/12,B43,$F$6,-$C$6),0)</f>
        <v/>
      </c>
      <c r="F43" s="35">
        <f>IF(B43&lt;=$C$4,D43+E43,0)</f>
        <v/>
      </c>
      <c r="G43" s="35">
        <f>IF(B43=1,$C$6,IF(B43&lt;=$C$4,G42-D43,0))</f>
        <v/>
      </c>
    </row>
    <row r="44">
      <c r="B44" s="16" t="n">
        <v>35</v>
      </c>
      <c r="C44" s="32">
        <f>DATE(YEAR(VLOOKUP($C$4,'Elenco Prestiti'!A:N,10,FALSE)),MONTH(VLOOKUP($C$4,'Elenco Prestiti'!A:N,10,FALSE))+35,DAY(VLOOKUP($C$4,'Elenco Prestiti'!A:N,10,FALSE)))</f>
        <v/>
      </c>
      <c r="D44" s="33">
        <f>IF(B44&lt;=$C$4,PPMT($C$7/12,B44,$F$6,-$C$6),0)</f>
        <v/>
      </c>
      <c r="E44" s="33">
        <f>IF(B44&lt;=$C$4,IPMT($C$7/12,B44,$F$6,-$C$6),0)</f>
        <v/>
      </c>
      <c r="F44" s="33">
        <f>IF(B44&lt;=$C$4,D44+E44,0)</f>
        <v/>
      </c>
      <c r="G44" s="33">
        <f>IF(B44=1,$C$6,IF(B44&lt;=$C$4,G43-D44,0))</f>
        <v/>
      </c>
    </row>
    <row r="45">
      <c r="B45" s="21" t="n">
        <v>36</v>
      </c>
      <c r="C45" s="34">
        <f>DATE(YEAR(VLOOKUP($C$4,'Elenco Prestiti'!A:N,10,FALSE)),MONTH(VLOOKUP($C$4,'Elenco Prestiti'!A:N,10,FALSE))+36,DAY(VLOOKUP($C$4,'Elenco Prestiti'!A:N,10,FALSE)))</f>
        <v/>
      </c>
      <c r="D45" s="35">
        <f>IF(B45&lt;=$C$4,PPMT($C$7/12,B45,$F$6,-$C$6),0)</f>
        <v/>
      </c>
      <c r="E45" s="35">
        <f>IF(B45&lt;=$C$4,IPMT($C$7/12,B45,$F$6,-$C$6),0)</f>
        <v/>
      </c>
      <c r="F45" s="35">
        <f>IF(B45&lt;=$C$4,D45+E45,0)</f>
        <v/>
      </c>
      <c r="G45" s="35">
        <f>IF(B45=1,$C$6,IF(B45&lt;=$C$4,G44-D45,0))</f>
        <v/>
      </c>
    </row>
    <row r="46">
      <c r="B46" s="16" t="n">
        <v>37</v>
      </c>
      <c r="C46" s="32">
        <f>DATE(YEAR(VLOOKUP($C$4,'Elenco Prestiti'!A:N,10,FALSE)),MONTH(VLOOKUP($C$4,'Elenco Prestiti'!A:N,10,FALSE))+37,DAY(VLOOKUP($C$4,'Elenco Prestiti'!A:N,10,FALSE)))</f>
        <v/>
      </c>
      <c r="D46" s="33">
        <f>IF(B46&lt;=$C$4,PPMT($C$7/12,B46,$F$6,-$C$6),0)</f>
        <v/>
      </c>
      <c r="E46" s="33">
        <f>IF(B46&lt;=$C$4,IPMT($C$7/12,B46,$F$6,-$C$6),0)</f>
        <v/>
      </c>
      <c r="F46" s="33">
        <f>IF(B46&lt;=$C$4,D46+E46,0)</f>
        <v/>
      </c>
      <c r="G46" s="33">
        <f>IF(B46=1,$C$6,IF(B46&lt;=$C$4,G45-D46,0))</f>
        <v/>
      </c>
    </row>
    <row r="47">
      <c r="B47" s="21" t="n">
        <v>38</v>
      </c>
      <c r="C47" s="34">
        <f>DATE(YEAR(VLOOKUP($C$4,'Elenco Prestiti'!A:N,10,FALSE)),MONTH(VLOOKUP($C$4,'Elenco Prestiti'!A:N,10,FALSE))+38,DAY(VLOOKUP($C$4,'Elenco Prestiti'!A:N,10,FALSE)))</f>
        <v/>
      </c>
      <c r="D47" s="35">
        <f>IF(B47&lt;=$C$4,PPMT($C$7/12,B47,$F$6,-$C$6),0)</f>
        <v/>
      </c>
      <c r="E47" s="35">
        <f>IF(B47&lt;=$C$4,IPMT($C$7/12,B47,$F$6,-$C$6),0)</f>
        <v/>
      </c>
      <c r="F47" s="35">
        <f>IF(B47&lt;=$C$4,D47+E47,0)</f>
        <v/>
      </c>
      <c r="G47" s="35">
        <f>IF(B47=1,$C$6,IF(B47&lt;=$C$4,G46-D47,0))</f>
        <v/>
      </c>
    </row>
    <row r="48">
      <c r="B48" s="16" t="n">
        <v>39</v>
      </c>
      <c r="C48" s="32">
        <f>DATE(YEAR(VLOOKUP($C$4,'Elenco Prestiti'!A:N,10,FALSE)),MONTH(VLOOKUP($C$4,'Elenco Prestiti'!A:N,10,FALSE))+39,DAY(VLOOKUP($C$4,'Elenco Prestiti'!A:N,10,FALSE)))</f>
        <v/>
      </c>
      <c r="D48" s="33">
        <f>IF(B48&lt;=$C$4,PPMT($C$7/12,B48,$F$6,-$C$6),0)</f>
        <v/>
      </c>
      <c r="E48" s="33">
        <f>IF(B48&lt;=$C$4,IPMT($C$7/12,B48,$F$6,-$C$6),0)</f>
        <v/>
      </c>
      <c r="F48" s="33">
        <f>IF(B48&lt;=$C$4,D48+E48,0)</f>
        <v/>
      </c>
      <c r="G48" s="33">
        <f>IF(B48=1,$C$6,IF(B48&lt;=$C$4,G47-D48,0))</f>
        <v/>
      </c>
    </row>
    <row r="49">
      <c r="B49" s="21" t="n">
        <v>40</v>
      </c>
      <c r="C49" s="34">
        <f>DATE(YEAR(VLOOKUP($C$4,'Elenco Prestiti'!A:N,10,FALSE)),MONTH(VLOOKUP($C$4,'Elenco Prestiti'!A:N,10,FALSE))+40,DAY(VLOOKUP($C$4,'Elenco Prestiti'!A:N,10,FALSE)))</f>
        <v/>
      </c>
      <c r="D49" s="35">
        <f>IF(B49&lt;=$C$4,PPMT($C$7/12,B49,$F$6,-$C$6),0)</f>
        <v/>
      </c>
      <c r="E49" s="35">
        <f>IF(B49&lt;=$C$4,IPMT($C$7/12,B49,$F$6,-$C$6),0)</f>
        <v/>
      </c>
      <c r="F49" s="35">
        <f>IF(B49&lt;=$C$4,D49+E49,0)</f>
        <v/>
      </c>
      <c r="G49" s="35">
        <f>IF(B49=1,$C$6,IF(B49&lt;=$C$4,G48-D49,0))</f>
        <v/>
      </c>
    </row>
    <row r="50">
      <c r="B50" s="16" t="n">
        <v>41</v>
      </c>
      <c r="C50" s="32">
        <f>DATE(YEAR(VLOOKUP($C$4,'Elenco Prestiti'!A:N,10,FALSE)),MONTH(VLOOKUP($C$4,'Elenco Prestiti'!A:N,10,FALSE))+41,DAY(VLOOKUP($C$4,'Elenco Prestiti'!A:N,10,FALSE)))</f>
        <v/>
      </c>
      <c r="D50" s="33">
        <f>IF(B50&lt;=$C$4,PPMT($C$7/12,B50,$F$6,-$C$6),0)</f>
        <v/>
      </c>
      <c r="E50" s="33">
        <f>IF(B50&lt;=$C$4,IPMT($C$7/12,B50,$F$6,-$C$6),0)</f>
        <v/>
      </c>
      <c r="F50" s="33">
        <f>IF(B50&lt;=$C$4,D50+E50,0)</f>
        <v/>
      </c>
      <c r="G50" s="33">
        <f>IF(B50=1,$C$6,IF(B50&lt;=$C$4,G49-D50,0))</f>
        <v/>
      </c>
    </row>
    <row r="51">
      <c r="B51" s="21" t="n">
        <v>42</v>
      </c>
      <c r="C51" s="34">
        <f>DATE(YEAR(VLOOKUP($C$4,'Elenco Prestiti'!A:N,10,FALSE)),MONTH(VLOOKUP($C$4,'Elenco Prestiti'!A:N,10,FALSE))+42,DAY(VLOOKUP($C$4,'Elenco Prestiti'!A:N,10,FALSE)))</f>
        <v/>
      </c>
      <c r="D51" s="35">
        <f>IF(B51&lt;=$C$4,PPMT($C$7/12,B51,$F$6,-$C$6),0)</f>
        <v/>
      </c>
      <c r="E51" s="35">
        <f>IF(B51&lt;=$C$4,IPMT($C$7/12,B51,$F$6,-$C$6),0)</f>
        <v/>
      </c>
      <c r="F51" s="35">
        <f>IF(B51&lt;=$C$4,D51+E51,0)</f>
        <v/>
      </c>
      <c r="G51" s="35">
        <f>IF(B51=1,$C$6,IF(B51&lt;=$C$4,G50-D51,0))</f>
        <v/>
      </c>
    </row>
    <row r="52">
      <c r="B52" s="16" t="n">
        <v>43</v>
      </c>
      <c r="C52" s="32">
        <f>DATE(YEAR(VLOOKUP($C$4,'Elenco Prestiti'!A:N,10,FALSE)),MONTH(VLOOKUP($C$4,'Elenco Prestiti'!A:N,10,FALSE))+43,DAY(VLOOKUP($C$4,'Elenco Prestiti'!A:N,10,FALSE)))</f>
        <v/>
      </c>
      <c r="D52" s="33">
        <f>IF(B52&lt;=$C$4,PPMT($C$7/12,B52,$F$6,-$C$6),0)</f>
        <v/>
      </c>
      <c r="E52" s="33">
        <f>IF(B52&lt;=$C$4,IPMT($C$7/12,B52,$F$6,-$C$6),0)</f>
        <v/>
      </c>
      <c r="F52" s="33">
        <f>IF(B52&lt;=$C$4,D52+E52,0)</f>
        <v/>
      </c>
      <c r="G52" s="33">
        <f>IF(B52=1,$C$6,IF(B52&lt;=$C$4,G51-D52,0))</f>
        <v/>
      </c>
    </row>
    <row r="53">
      <c r="B53" s="21" t="n">
        <v>44</v>
      </c>
      <c r="C53" s="34">
        <f>DATE(YEAR(VLOOKUP($C$4,'Elenco Prestiti'!A:N,10,FALSE)),MONTH(VLOOKUP($C$4,'Elenco Prestiti'!A:N,10,FALSE))+44,DAY(VLOOKUP($C$4,'Elenco Prestiti'!A:N,10,FALSE)))</f>
        <v/>
      </c>
      <c r="D53" s="35">
        <f>IF(B53&lt;=$C$4,PPMT($C$7/12,B53,$F$6,-$C$6),0)</f>
        <v/>
      </c>
      <c r="E53" s="35">
        <f>IF(B53&lt;=$C$4,IPMT($C$7/12,B53,$F$6,-$C$6),0)</f>
        <v/>
      </c>
      <c r="F53" s="35">
        <f>IF(B53&lt;=$C$4,D53+E53,0)</f>
        <v/>
      </c>
      <c r="G53" s="35">
        <f>IF(B53=1,$C$6,IF(B53&lt;=$C$4,G52-D53,0))</f>
        <v/>
      </c>
    </row>
    <row r="54">
      <c r="B54" s="16" t="n">
        <v>45</v>
      </c>
      <c r="C54" s="32">
        <f>DATE(YEAR(VLOOKUP($C$4,'Elenco Prestiti'!A:N,10,FALSE)),MONTH(VLOOKUP($C$4,'Elenco Prestiti'!A:N,10,FALSE))+45,DAY(VLOOKUP($C$4,'Elenco Prestiti'!A:N,10,FALSE)))</f>
        <v/>
      </c>
      <c r="D54" s="33">
        <f>IF(B54&lt;=$C$4,PPMT($C$7/12,B54,$F$6,-$C$6),0)</f>
        <v/>
      </c>
      <c r="E54" s="33">
        <f>IF(B54&lt;=$C$4,IPMT($C$7/12,B54,$F$6,-$C$6),0)</f>
        <v/>
      </c>
      <c r="F54" s="33">
        <f>IF(B54&lt;=$C$4,D54+E54,0)</f>
        <v/>
      </c>
      <c r="G54" s="33">
        <f>IF(B54=1,$C$6,IF(B54&lt;=$C$4,G53-D54,0))</f>
        <v/>
      </c>
    </row>
    <row r="55">
      <c r="B55" s="21" t="n">
        <v>46</v>
      </c>
      <c r="C55" s="34">
        <f>DATE(YEAR(VLOOKUP($C$4,'Elenco Prestiti'!A:N,10,FALSE)),MONTH(VLOOKUP($C$4,'Elenco Prestiti'!A:N,10,FALSE))+46,DAY(VLOOKUP($C$4,'Elenco Prestiti'!A:N,10,FALSE)))</f>
        <v/>
      </c>
      <c r="D55" s="35">
        <f>IF(B55&lt;=$C$4,PPMT($C$7/12,B55,$F$6,-$C$6),0)</f>
        <v/>
      </c>
      <c r="E55" s="35">
        <f>IF(B55&lt;=$C$4,IPMT($C$7/12,B55,$F$6,-$C$6),0)</f>
        <v/>
      </c>
      <c r="F55" s="35">
        <f>IF(B55&lt;=$C$4,D55+E55,0)</f>
        <v/>
      </c>
      <c r="G55" s="35">
        <f>IF(B55=1,$C$6,IF(B55&lt;=$C$4,G54-D55,0))</f>
        <v/>
      </c>
    </row>
    <row r="56">
      <c r="B56" s="16" t="n">
        <v>47</v>
      </c>
      <c r="C56" s="32">
        <f>DATE(YEAR(VLOOKUP($C$4,'Elenco Prestiti'!A:N,10,FALSE)),MONTH(VLOOKUP($C$4,'Elenco Prestiti'!A:N,10,FALSE))+47,DAY(VLOOKUP($C$4,'Elenco Prestiti'!A:N,10,FALSE)))</f>
        <v/>
      </c>
      <c r="D56" s="33">
        <f>IF(B56&lt;=$C$4,PPMT($C$7/12,B56,$F$6,-$C$6),0)</f>
        <v/>
      </c>
      <c r="E56" s="33">
        <f>IF(B56&lt;=$C$4,IPMT($C$7/12,B56,$F$6,-$C$6),0)</f>
        <v/>
      </c>
      <c r="F56" s="33">
        <f>IF(B56&lt;=$C$4,D56+E56,0)</f>
        <v/>
      </c>
      <c r="G56" s="33">
        <f>IF(B56=1,$C$6,IF(B56&lt;=$C$4,G55-D56,0))</f>
        <v/>
      </c>
    </row>
    <row r="57">
      <c r="B57" s="21" t="n">
        <v>48</v>
      </c>
      <c r="C57" s="34">
        <f>DATE(YEAR(VLOOKUP($C$4,'Elenco Prestiti'!A:N,10,FALSE)),MONTH(VLOOKUP($C$4,'Elenco Prestiti'!A:N,10,FALSE))+48,DAY(VLOOKUP($C$4,'Elenco Prestiti'!A:N,10,FALSE)))</f>
        <v/>
      </c>
      <c r="D57" s="35">
        <f>IF(B57&lt;=$C$4,PPMT($C$7/12,B57,$F$6,-$C$6),0)</f>
        <v/>
      </c>
      <c r="E57" s="35">
        <f>IF(B57&lt;=$C$4,IPMT($C$7/12,B57,$F$6,-$C$6),0)</f>
        <v/>
      </c>
      <c r="F57" s="35">
        <f>IF(B57&lt;=$C$4,D57+E57,0)</f>
        <v/>
      </c>
      <c r="G57" s="35">
        <f>IF(B57=1,$C$6,IF(B57&lt;=$C$4,G56-D57,0))</f>
        <v/>
      </c>
    </row>
    <row r="58">
      <c r="B58" s="16" t="n">
        <v>49</v>
      </c>
      <c r="C58" s="32">
        <f>DATE(YEAR(VLOOKUP($C$4,'Elenco Prestiti'!A:N,10,FALSE)),MONTH(VLOOKUP($C$4,'Elenco Prestiti'!A:N,10,FALSE))+49,DAY(VLOOKUP($C$4,'Elenco Prestiti'!A:N,10,FALSE)))</f>
        <v/>
      </c>
      <c r="D58" s="33">
        <f>IF(B58&lt;=$C$4,PPMT($C$7/12,B58,$F$6,-$C$6),0)</f>
        <v/>
      </c>
      <c r="E58" s="33">
        <f>IF(B58&lt;=$C$4,IPMT($C$7/12,B58,$F$6,-$C$6),0)</f>
        <v/>
      </c>
      <c r="F58" s="33">
        <f>IF(B58&lt;=$C$4,D58+E58,0)</f>
        <v/>
      </c>
      <c r="G58" s="33">
        <f>IF(B58=1,$C$6,IF(B58&lt;=$C$4,G57-D58,0))</f>
        <v/>
      </c>
    </row>
    <row r="59">
      <c r="B59" s="21" t="n">
        <v>50</v>
      </c>
      <c r="C59" s="34">
        <f>DATE(YEAR(VLOOKUP($C$4,'Elenco Prestiti'!A:N,10,FALSE)),MONTH(VLOOKUP($C$4,'Elenco Prestiti'!A:N,10,FALSE))+50,DAY(VLOOKUP($C$4,'Elenco Prestiti'!A:N,10,FALSE)))</f>
        <v/>
      </c>
      <c r="D59" s="35">
        <f>IF(B59&lt;=$C$4,PPMT($C$7/12,B59,$F$6,-$C$6),0)</f>
        <v/>
      </c>
      <c r="E59" s="35">
        <f>IF(B59&lt;=$C$4,IPMT($C$7/12,B59,$F$6,-$C$6),0)</f>
        <v/>
      </c>
      <c r="F59" s="35">
        <f>IF(B59&lt;=$C$4,D59+E59,0)</f>
        <v/>
      </c>
      <c r="G59" s="35">
        <f>IF(B59=1,$C$6,IF(B59&lt;=$C$4,G58-D59,0))</f>
        <v/>
      </c>
    </row>
    <row r="60">
      <c r="B60" s="16" t="n">
        <v>51</v>
      </c>
      <c r="C60" s="32">
        <f>DATE(YEAR(VLOOKUP($C$4,'Elenco Prestiti'!A:N,10,FALSE)),MONTH(VLOOKUP($C$4,'Elenco Prestiti'!A:N,10,FALSE))+51,DAY(VLOOKUP($C$4,'Elenco Prestiti'!A:N,10,FALSE)))</f>
        <v/>
      </c>
      <c r="D60" s="33">
        <f>IF(B60&lt;=$C$4,PPMT($C$7/12,B60,$F$6,-$C$6),0)</f>
        <v/>
      </c>
      <c r="E60" s="33">
        <f>IF(B60&lt;=$C$4,IPMT($C$7/12,B60,$F$6,-$C$6),0)</f>
        <v/>
      </c>
      <c r="F60" s="33">
        <f>IF(B60&lt;=$C$4,D60+E60,0)</f>
        <v/>
      </c>
      <c r="G60" s="33">
        <f>IF(B60=1,$C$6,IF(B60&lt;=$C$4,G59-D60,0))</f>
        <v/>
      </c>
    </row>
    <row r="61">
      <c r="B61" s="21" t="n">
        <v>52</v>
      </c>
      <c r="C61" s="34">
        <f>DATE(YEAR(VLOOKUP($C$4,'Elenco Prestiti'!A:N,10,FALSE)),MONTH(VLOOKUP($C$4,'Elenco Prestiti'!A:N,10,FALSE))+52,DAY(VLOOKUP($C$4,'Elenco Prestiti'!A:N,10,FALSE)))</f>
        <v/>
      </c>
      <c r="D61" s="35">
        <f>IF(B61&lt;=$C$4,PPMT($C$7/12,B61,$F$6,-$C$6),0)</f>
        <v/>
      </c>
      <c r="E61" s="35">
        <f>IF(B61&lt;=$C$4,IPMT($C$7/12,B61,$F$6,-$C$6),0)</f>
        <v/>
      </c>
      <c r="F61" s="35">
        <f>IF(B61&lt;=$C$4,D61+E61,0)</f>
        <v/>
      </c>
      <c r="G61" s="35">
        <f>IF(B61=1,$C$6,IF(B61&lt;=$C$4,G60-D61,0))</f>
        <v/>
      </c>
    </row>
    <row r="62">
      <c r="B62" s="16" t="n">
        <v>53</v>
      </c>
      <c r="C62" s="32">
        <f>DATE(YEAR(VLOOKUP($C$4,'Elenco Prestiti'!A:N,10,FALSE)),MONTH(VLOOKUP($C$4,'Elenco Prestiti'!A:N,10,FALSE))+53,DAY(VLOOKUP($C$4,'Elenco Prestiti'!A:N,10,FALSE)))</f>
        <v/>
      </c>
      <c r="D62" s="33">
        <f>IF(B62&lt;=$C$4,PPMT($C$7/12,B62,$F$6,-$C$6),0)</f>
        <v/>
      </c>
      <c r="E62" s="33">
        <f>IF(B62&lt;=$C$4,IPMT($C$7/12,B62,$F$6,-$C$6),0)</f>
        <v/>
      </c>
      <c r="F62" s="33">
        <f>IF(B62&lt;=$C$4,D62+E62,0)</f>
        <v/>
      </c>
      <c r="G62" s="33">
        <f>IF(B62=1,$C$6,IF(B62&lt;=$C$4,G61-D62,0))</f>
        <v/>
      </c>
    </row>
    <row r="63">
      <c r="B63" s="21" t="n">
        <v>54</v>
      </c>
      <c r="C63" s="34">
        <f>DATE(YEAR(VLOOKUP($C$4,'Elenco Prestiti'!A:N,10,FALSE)),MONTH(VLOOKUP($C$4,'Elenco Prestiti'!A:N,10,FALSE))+54,DAY(VLOOKUP($C$4,'Elenco Prestiti'!A:N,10,FALSE)))</f>
        <v/>
      </c>
      <c r="D63" s="35">
        <f>IF(B63&lt;=$C$4,PPMT($C$7/12,B63,$F$6,-$C$6),0)</f>
        <v/>
      </c>
      <c r="E63" s="35">
        <f>IF(B63&lt;=$C$4,IPMT($C$7/12,B63,$F$6,-$C$6),0)</f>
        <v/>
      </c>
      <c r="F63" s="35">
        <f>IF(B63&lt;=$C$4,D63+E63,0)</f>
        <v/>
      </c>
      <c r="G63" s="35">
        <f>IF(B63=1,$C$6,IF(B63&lt;=$C$4,G62-D63,0))</f>
        <v/>
      </c>
    </row>
    <row r="64">
      <c r="B64" s="16" t="n">
        <v>55</v>
      </c>
      <c r="C64" s="32">
        <f>DATE(YEAR(VLOOKUP($C$4,'Elenco Prestiti'!A:N,10,FALSE)),MONTH(VLOOKUP($C$4,'Elenco Prestiti'!A:N,10,FALSE))+55,DAY(VLOOKUP($C$4,'Elenco Prestiti'!A:N,10,FALSE)))</f>
        <v/>
      </c>
      <c r="D64" s="33">
        <f>IF(B64&lt;=$C$4,PPMT($C$7/12,B64,$F$6,-$C$6),0)</f>
        <v/>
      </c>
      <c r="E64" s="33">
        <f>IF(B64&lt;=$C$4,IPMT($C$7/12,B64,$F$6,-$C$6),0)</f>
        <v/>
      </c>
      <c r="F64" s="33">
        <f>IF(B64&lt;=$C$4,D64+E64,0)</f>
        <v/>
      </c>
      <c r="G64" s="33">
        <f>IF(B64=1,$C$6,IF(B64&lt;=$C$4,G63-D64,0))</f>
        <v/>
      </c>
    </row>
    <row r="65">
      <c r="B65" s="21" t="n">
        <v>56</v>
      </c>
      <c r="C65" s="34">
        <f>DATE(YEAR(VLOOKUP($C$4,'Elenco Prestiti'!A:N,10,FALSE)),MONTH(VLOOKUP($C$4,'Elenco Prestiti'!A:N,10,FALSE))+56,DAY(VLOOKUP($C$4,'Elenco Prestiti'!A:N,10,FALSE)))</f>
        <v/>
      </c>
      <c r="D65" s="35">
        <f>IF(B65&lt;=$C$4,PPMT($C$7/12,B65,$F$6,-$C$6),0)</f>
        <v/>
      </c>
      <c r="E65" s="35">
        <f>IF(B65&lt;=$C$4,IPMT($C$7/12,B65,$F$6,-$C$6),0)</f>
        <v/>
      </c>
      <c r="F65" s="35">
        <f>IF(B65&lt;=$C$4,D65+E65,0)</f>
        <v/>
      </c>
      <c r="G65" s="35">
        <f>IF(B65=1,$C$6,IF(B65&lt;=$C$4,G64-D65,0))</f>
        <v/>
      </c>
    </row>
    <row r="66">
      <c r="B66" s="16" t="n">
        <v>57</v>
      </c>
      <c r="C66" s="32">
        <f>DATE(YEAR(VLOOKUP($C$4,'Elenco Prestiti'!A:N,10,FALSE)),MONTH(VLOOKUP($C$4,'Elenco Prestiti'!A:N,10,FALSE))+57,DAY(VLOOKUP($C$4,'Elenco Prestiti'!A:N,10,FALSE)))</f>
        <v/>
      </c>
      <c r="D66" s="33">
        <f>IF(B66&lt;=$C$4,PPMT($C$7/12,B66,$F$6,-$C$6),0)</f>
        <v/>
      </c>
      <c r="E66" s="33">
        <f>IF(B66&lt;=$C$4,IPMT($C$7/12,B66,$F$6,-$C$6),0)</f>
        <v/>
      </c>
      <c r="F66" s="33">
        <f>IF(B66&lt;=$C$4,D66+E66,0)</f>
        <v/>
      </c>
      <c r="G66" s="33">
        <f>IF(B66=1,$C$6,IF(B66&lt;=$C$4,G65-D66,0))</f>
        <v/>
      </c>
    </row>
    <row r="67">
      <c r="B67" s="21" t="n">
        <v>58</v>
      </c>
      <c r="C67" s="34">
        <f>DATE(YEAR(VLOOKUP($C$4,'Elenco Prestiti'!A:N,10,FALSE)),MONTH(VLOOKUP($C$4,'Elenco Prestiti'!A:N,10,FALSE))+58,DAY(VLOOKUP($C$4,'Elenco Prestiti'!A:N,10,FALSE)))</f>
        <v/>
      </c>
      <c r="D67" s="35">
        <f>IF(B67&lt;=$C$4,PPMT($C$7/12,B67,$F$6,-$C$6),0)</f>
        <v/>
      </c>
      <c r="E67" s="35">
        <f>IF(B67&lt;=$C$4,IPMT($C$7/12,B67,$F$6,-$C$6),0)</f>
        <v/>
      </c>
      <c r="F67" s="35">
        <f>IF(B67&lt;=$C$4,D67+E67,0)</f>
        <v/>
      </c>
      <c r="G67" s="35">
        <f>IF(B67=1,$C$6,IF(B67&lt;=$C$4,G66-D67,0))</f>
        <v/>
      </c>
    </row>
    <row r="68">
      <c r="B68" s="16" t="n">
        <v>59</v>
      </c>
      <c r="C68" s="32">
        <f>DATE(YEAR(VLOOKUP($C$4,'Elenco Prestiti'!A:N,10,FALSE)),MONTH(VLOOKUP($C$4,'Elenco Prestiti'!A:N,10,FALSE))+59,DAY(VLOOKUP($C$4,'Elenco Prestiti'!A:N,10,FALSE)))</f>
        <v/>
      </c>
      <c r="D68" s="33">
        <f>IF(B68&lt;=$C$4,PPMT($C$7/12,B68,$F$6,-$C$6),0)</f>
        <v/>
      </c>
      <c r="E68" s="33">
        <f>IF(B68&lt;=$C$4,IPMT($C$7/12,B68,$F$6,-$C$6),0)</f>
        <v/>
      </c>
      <c r="F68" s="33">
        <f>IF(B68&lt;=$C$4,D68+E68,0)</f>
        <v/>
      </c>
      <c r="G68" s="33">
        <f>IF(B68=1,$C$6,IF(B68&lt;=$C$4,G67-D68,0))</f>
        <v/>
      </c>
    </row>
    <row r="69">
      <c r="B69" s="21" t="n">
        <v>60</v>
      </c>
      <c r="C69" s="34">
        <f>DATE(YEAR(VLOOKUP($C$4,'Elenco Prestiti'!A:N,10,FALSE)),MONTH(VLOOKUP($C$4,'Elenco Prestiti'!A:N,10,FALSE))+60,DAY(VLOOKUP($C$4,'Elenco Prestiti'!A:N,10,FALSE)))</f>
        <v/>
      </c>
      <c r="D69" s="35">
        <f>IF(B69&lt;=$C$4,PPMT($C$7/12,B69,$F$6,-$C$6),0)</f>
        <v/>
      </c>
      <c r="E69" s="35">
        <f>IF(B69&lt;=$C$4,IPMT($C$7/12,B69,$F$6,-$C$6),0)</f>
        <v/>
      </c>
      <c r="F69" s="35">
        <f>IF(B69&lt;=$C$4,D69+E69,0)</f>
        <v/>
      </c>
      <c r="G69" s="35">
        <f>IF(B69=1,$C$6,IF(B69&lt;=$C$4,G68-D69,0))</f>
        <v/>
      </c>
    </row>
  </sheetData>
  <mergeCells count="1">
    <mergeCell ref="B2:H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H19"/>
  <sheetViews>
    <sheetView workbookViewId="0">
      <selection activeCell="A1" sqref="A1"/>
    </sheetView>
  </sheetViews>
  <sheetFormatPr baseColWidth="8" defaultRowHeight="15"/>
  <cols>
    <col width="3" customWidth="1" min="1" max="1"/>
    <col width="25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2">
      <c r="B2" s="26" t="inlineStr">
        <is>
          <t>ANALISI FINANZIARIA E CONFRONTO PRESTITI</t>
        </is>
      </c>
    </row>
    <row r="4">
      <c r="B4" s="3" t="inlineStr">
        <is>
          <t>CONFRONTO COSTI TOTALI</t>
        </is>
      </c>
    </row>
    <row r="5">
      <c r="B5" s="14" t="inlineStr">
        <is>
          <t>Prestito</t>
        </is>
      </c>
      <c r="C5" s="14" t="inlineStr">
        <is>
          <t>Capitale</t>
        </is>
      </c>
      <c r="D5" s="14" t="inlineStr">
        <is>
          <t>Totale Interessi</t>
        </is>
      </c>
      <c r="E5" s="14" t="inlineStr">
        <is>
          <t>Costo Totale</t>
        </is>
      </c>
    </row>
    <row r="6">
      <c r="B6" s="17">
        <f>IF(ROW()-5&lt;=COUNTA('Elenco Prestiti'!A:A)-1,INDEX('Elenco Prestiti'!B:B,ROW()-4),"")</f>
        <v/>
      </c>
      <c r="C6" s="33">
        <f>IF(ROW()-5&lt;=COUNTA('Elenco Prestiti'!A:A)-1,INDEX('Elenco Prestiti'!C:C,ROW()-4),0)</f>
        <v/>
      </c>
      <c r="D6" s="33">
        <f>IF(ROW()-5&lt;=COUNTA('Elenco Prestiti'!A:A)-1,INDEX('Elenco Prestiti'!I:I,ROW()-4),0)</f>
        <v/>
      </c>
      <c r="E6" s="33">
        <f>C6+D6</f>
        <v/>
      </c>
    </row>
    <row r="7">
      <c r="B7" s="22">
        <f>IF(ROW()-5&lt;=COUNTA('Elenco Prestiti'!A:A)-1,INDEX('Elenco Prestiti'!B:B,ROW()-4),"")</f>
        <v/>
      </c>
      <c r="C7" s="35">
        <f>IF(ROW()-5&lt;=COUNTA('Elenco Prestiti'!A:A)-1,INDEX('Elenco Prestiti'!C:C,ROW()-4),0)</f>
        <v/>
      </c>
      <c r="D7" s="35">
        <f>IF(ROW()-5&lt;=COUNTA('Elenco Prestiti'!A:A)-1,INDEX('Elenco Prestiti'!I:I,ROW()-4),0)</f>
        <v/>
      </c>
      <c r="E7" s="35">
        <f>C7+D7</f>
        <v/>
      </c>
    </row>
    <row r="8">
      <c r="B8" s="17">
        <f>IF(ROW()-5&lt;=COUNTA('Elenco Prestiti'!A:A)-1,INDEX('Elenco Prestiti'!B:B,ROW()-4),"")</f>
        <v/>
      </c>
      <c r="C8" s="33">
        <f>IF(ROW()-5&lt;=COUNTA('Elenco Prestiti'!A:A)-1,INDEX('Elenco Prestiti'!C:C,ROW()-4),0)</f>
        <v/>
      </c>
      <c r="D8" s="33">
        <f>IF(ROW()-5&lt;=COUNTA('Elenco Prestiti'!A:A)-1,INDEX('Elenco Prestiti'!I:I,ROW()-4),0)</f>
        <v/>
      </c>
      <c r="E8" s="33">
        <f>C8+D8</f>
        <v/>
      </c>
    </row>
    <row r="10">
      <c r="B10" s="3" t="inlineStr">
        <is>
          <t>ANALISI CASHFLOW MENSILE</t>
        </is>
      </c>
    </row>
    <row r="11">
      <c r="B11" s="27" t="inlineStr">
        <is>
          <t>Rata Mensile Totale:</t>
        </is>
      </c>
      <c r="C11" s="36">
        <f>SUM('Elenco Prestiti'!F:F)</f>
        <v/>
      </c>
    </row>
    <row r="12">
      <c r="B12" s="27" t="inlineStr">
        <is>
          <t>Impatto Annuale:</t>
        </is>
      </c>
      <c r="C12" s="36">
        <f>C11*12</f>
        <v/>
      </c>
    </row>
    <row r="14">
      <c r="B14" s="3" t="inlineStr">
        <is>
          <t>SIMULAZIONE ESTINZIONE ANTICIPATA</t>
        </is>
      </c>
    </row>
    <row r="16">
      <c r="B16" s="27" t="inlineStr">
        <is>
          <t>Prestito da simulare:</t>
        </is>
      </c>
      <c r="C16" s="28" t="n">
        <v>1</v>
      </c>
    </row>
    <row r="17">
      <c r="B17" s="27" t="inlineStr">
        <is>
          <t>Mesi anticipo:</t>
        </is>
      </c>
      <c r="C17" s="28" t="n">
        <v>12</v>
      </c>
    </row>
    <row r="19">
      <c r="B19" s="27" t="inlineStr">
        <is>
          <t>Risparmio Interessi:</t>
        </is>
      </c>
      <c r="C19" s="37">
        <f>VLOOKUP(C16,'Elenco Prestiti'!A:N,9,FALSE)*C17/VLOOKUP(C16,'Elenco Prestiti'!A:N,7,FALSE)</f>
        <v/>
      </c>
    </row>
  </sheetData>
  <mergeCells count="4">
    <mergeCell ref="B2:H2"/>
    <mergeCell ref="B4:E4"/>
    <mergeCell ref="B10:E10"/>
    <mergeCell ref="B14:F14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B2:H68"/>
  <sheetViews>
    <sheetView workbookViewId="0">
      <selection activeCell="A1" sqref="A1"/>
    </sheetView>
  </sheetViews>
  <sheetFormatPr baseColWidth="8" defaultRowHeight="15"/>
  <cols>
    <col width="2" customWidth="1" min="1" max="1"/>
    <col width="80" customWidth="1" min="2" max="2"/>
    <col width="2" customWidth="1" min="3" max="3"/>
    <col width="2" customWidth="1" min="4" max="4"/>
    <col width="2" customWidth="1" min="5" max="5"/>
    <col width="2" customWidth="1" min="6" max="6"/>
    <col width="2" customWidth="1" min="7" max="7"/>
    <col width="2" customWidth="1" min="8" max="8"/>
  </cols>
  <sheetData>
    <row r="2">
      <c r="B2" s="38" t="inlineStr">
        <is>
          <t>GUIDA COMPLETA - GESTIONE PRESTITI PERSONALI</t>
        </is>
      </c>
    </row>
    <row r="4">
      <c r="B4" s="39" t="inlineStr">
        <is>
          <t>PANORAMICA</t>
        </is>
      </c>
    </row>
    <row r="5">
      <c r="B5" s="40" t="inlineStr">
        <is>
          <t>Questo modello Excel professionale ti aiuta a gestire tutti i tuoi prestiti personali in modo organizzato e completo.</t>
        </is>
      </c>
    </row>
    <row r="6">
      <c r="B6" s="40" t="inlineStr">
        <is>
          <t>Monitora rate, scadenze, interessi e debiti residui con calcoli automatici e analisi dettagliate.</t>
        </is>
      </c>
    </row>
    <row r="8">
      <c r="B8" s="39" t="inlineStr">
        <is>
          <t>STRUTTURA DEL MODELLO</t>
        </is>
      </c>
    </row>
    <row r="9">
      <c r="B9" s="41" t="inlineStr">
        <is>
          <t>1. DASHBOARD: Visualizzazione riepilogativa con indicatori chiave e prossime scadenze</t>
        </is>
      </c>
    </row>
    <row r="10">
      <c r="B10" s="41" t="inlineStr">
        <is>
          <t>2. ELENCO PRESTITI: Database completo di tutti i prestiti attivi con calcoli automatici</t>
        </is>
      </c>
    </row>
    <row r="11">
      <c r="B11" s="41" t="inlineStr">
        <is>
          <t>3. PIANO AMMORTAMENTO: Dettaglio mese per mese di capitale e interessi per ogni prestito</t>
        </is>
      </c>
    </row>
    <row r="12">
      <c r="B12" s="41" t="inlineStr">
        <is>
          <t>4. ANALISI FINANZIARIA: Confronto costi, simulazioni e analisi cashflow</t>
        </is>
      </c>
    </row>
    <row r="14">
      <c r="B14" s="39" t="inlineStr">
        <is>
          <t>COME UTILIZZARE IL MODELLO</t>
        </is>
      </c>
    </row>
    <row r="15">
      <c r="B15" s="42" t="inlineStr">
        <is>
          <t>PASSO 1: Inserisci i dati nel foglio 'Elenco Prestiti'</t>
        </is>
      </c>
    </row>
    <row r="16">
      <c r="B16" s="40" t="inlineStr">
        <is>
          <t>• ID: Numero progressivo automatico</t>
        </is>
      </c>
    </row>
    <row r="17">
      <c r="B17" s="40" t="inlineStr">
        <is>
          <t>• Nome Prestito: Descrizione identificativa (es: Mutuo Casa, Auto, Ristrutturazione)</t>
        </is>
      </c>
    </row>
    <row r="18">
      <c r="B18" s="40" t="inlineStr">
        <is>
          <t>• Capitale Iniziale: Importo totale del prestito erogato</t>
        </is>
      </c>
    </row>
    <row r="19">
      <c r="B19" s="40" t="inlineStr">
        <is>
          <t>• Tasso Interesse: Percentuale annuale (es: 2.5 per 2.5%)</t>
        </is>
      </c>
    </row>
    <row r="20">
      <c r="B20" s="40" t="inlineStr">
        <is>
          <t>• Durata: Numero totale di mesi del prestito</t>
        </is>
      </c>
    </row>
    <row r="21">
      <c r="B21" s="40" t="inlineStr">
        <is>
          <t>• Rata Mensile: Calcolata automaticamente con la formula PMT</t>
        </is>
      </c>
    </row>
    <row r="22">
      <c r="B22" s="40" t="inlineStr">
        <is>
          <t>• Mesi Rimanenti: Numero di rate ancora da pagare</t>
        </is>
      </c>
    </row>
    <row r="23">
      <c r="B23" s="40" t="inlineStr">
        <is>
          <t>• Debito Residuo: Calcolato automaticamente</t>
        </is>
      </c>
    </row>
    <row r="24">
      <c r="B24" s="40" t="inlineStr">
        <is>
          <t>• Interessi Pagati: Totale interessi maturati finora</t>
        </is>
      </c>
    </row>
    <row r="26">
      <c r="B26" s="42" t="inlineStr">
        <is>
          <t>PASSO 2: Consulta la Dashboard</t>
        </is>
      </c>
    </row>
    <row r="27">
      <c r="B27" s="40" t="inlineStr">
        <is>
          <t>La Dashboard si aggiorna automaticamente mostrando:</t>
        </is>
      </c>
    </row>
    <row r="28">
      <c r="B28" s="40" t="inlineStr">
        <is>
          <t>• Numero totale di prestiti attivi</t>
        </is>
      </c>
    </row>
    <row r="29">
      <c r="B29" s="40" t="inlineStr">
        <is>
          <t>• Capitale totale erogato e debito residuo</t>
        </is>
      </c>
    </row>
    <row r="30">
      <c r="B30" s="40" t="inlineStr">
        <is>
          <t>• Totale interessi pagati</t>
        </is>
      </c>
    </row>
    <row r="31">
      <c r="B31" s="40" t="inlineStr">
        <is>
          <t>• Indicatori finanziari (rata media, tasso medio, durata residua)</t>
        </is>
      </c>
    </row>
    <row r="33">
      <c r="B33" s="42" t="inlineStr">
        <is>
          <t>PASSO 3: Analizza il Piano di Ammortamento</t>
        </is>
      </c>
    </row>
    <row r="34">
      <c r="B34" s="40" t="inlineStr">
        <is>
          <t>• Seleziona il prestito inserendo l'ID nella cella C4</t>
        </is>
      </c>
    </row>
    <row r="35">
      <c r="B35" s="40" t="inlineStr">
        <is>
          <t>• Visualizza il dettaglio mese per mese con:</t>
        </is>
      </c>
    </row>
    <row r="36">
      <c r="B36" s="40" t="inlineStr">
        <is>
          <t xml:space="preserve">  - Quota capitale rimborsata</t>
        </is>
      </c>
    </row>
    <row r="37">
      <c r="B37" s="40" t="inlineStr">
        <is>
          <t xml:space="preserve">  - Quota interessi pagata</t>
        </is>
      </c>
    </row>
    <row r="38">
      <c r="B38" s="40" t="inlineStr">
        <is>
          <t xml:space="preserve">  - Debito residuo progressivo</t>
        </is>
      </c>
    </row>
    <row r="40">
      <c r="B40" s="42" t="inlineStr">
        <is>
          <t>PASSO 4: Utilizza l'Analisi Finanziaria</t>
        </is>
      </c>
    </row>
    <row r="41">
      <c r="B41" s="40" t="inlineStr">
        <is>
          <t>• Confronta i costi totali di tutti i prestiti</t>
        </is>
      </c>
    </row>
    <row r="42">
      <c r="B42" s="40" t="inlineStr">
        <is>
          <t>• Monitora l'impatto sul cashflow mensile e annuale</t>
        </is>
      </c>
    </row>
    <row r="43">
      <c r="B43" s="40" t="inlineStr">
        <is>
          <t>• Simula il risparmio con estinzione anticipata</t>
        </is>
      </c>
    </row>
    <row r="45">
      <c r="B45" s="39" t="inlineStr">
        <is>
          <t>FORMULE PRINCIPALI</t>
        </is>
      </c>
    </row>
    <row r="46">
      <c r="B46" s="40" t="inlineStr">
        <is>
          <t>• Rata Mensile: =PMT(tasso/12, durata, -capitale)</t>
        </is>
      </c>
    </row>
    <row r="47">
      <c r="B47" s="40" t="inlineStr">
        <is>
          <t>• Quota Capitale: =PPMT(tasso/12, mese, durata, -capitale)</t>
        </is>
      </c>
    </row>
    <row r="48">
      <c r="B48" s="40" t="inlineStr">
        <is>
          <t>• Quota Interessi: =IPMT(tasso/12, mese, durata, -capitale)</t>
        </is>
      </c>
    </row>
    <row r="49">
      <c r="B49" s="40" t="inlineStr">
        <is>
          <t>• Debito Residuo: capitale - somma quote capitale pagate</t>
        </is>
      </c>
    </row>
    <row r="51">
      <c r="B51" s="43" t="inlineStr">
        <is>
          <t>CONSIGLI PRATICI</t>
        </is>
      </c>
    </row>
    <row r="52">
      <c r="B52" s="40" t="inlineStr">
        <is>
          <t>✓ Aggiorna regolarmente i 'Mesi Rimanenti' man mano che paghi le rate</t>
        </is>
      </c>
    </row>
    <row r="53">
      <c r="B53" s="40" t="inlineStr">
        <is>
          <t>✓ Verifica periodicamente il debito residuo con gli estratti conto della banca</t>
        </is>
      </c>
    </row>
    <row r="54">
      <c r="B54" s="40" t="inlineStr">
        <is>
          <t>✓ Usa la simulazione per valutare la convenienza di estinzioni anticipate</t>
        </is>
      </c>
    </row>
    <row r="55">
      <c r="B55" s="40" t="inlineStr">
        <is>
          <t>✓ Monitora il rapporto debito/capitale per valutare la tua situazione finanziaria</t>
        </is>
      </c>
    </row>
    <row r="56">
      <c r="B56" s="40" t="inlineStr">
        <is>
          <t>✓ Pianifica i pagamenti consultando le prossime scadenze nella Dashboard</t>
        </is>
      </c>
    </row>
    <row r="58">
      <c r="B58" s="39" t="inlineStr">
        <is>
          <t>PERSONALIZZAZIONE</t>
        </is>
      </c>
    </row>
    <row r="59">
      <c r="B59" s="40" t="inlineStr">
        <is>
          <t>Puoi personalizzare il modello:</t>
        </is>
      </c>
    </row>
    <row r="60">
      <c r="B60" s="40" t="inlineStr">
        <is>
          <t>• Aggiungi nuovi prestiti copiando le righe esistenti</t>
        </is>
      </c>
    </row>
    <row r="61">
      <c r="B61" s="40" t="inlineStr">
        <is>
          <t>• Modifica i colori per adattarli alle tue preferenze</t>
        </is>
      </c>
    </row>
    <row r="62">
      <c r="B62" s="40" t="inlineStr">
        <is>
          <t>• Aggiungi colonne personalizzate per tracciare informazioni aggiuntive</t>
        </is>
      </c>
    </row>
    <row r="63">
      <c r="B63" s="40" t="inlineStr">
        <is>
          <t>• Crea grafici personalizzati usando i dati disponibili</t>
        </is>
      </c>
    </row>
    <row r="65">
      <c r="B65" s="41" t="inlineStr">
        <is>
          <t>SUPPORTO E AGGIORNAMENTI</t>
        </is>
      </c>
    </row>
    <row r="66">
      <c r="B66" s="40" t="inlineStr">
        <is>
          <t>Questo modello è gratuito e completamente personalizzabile.</t>
        </is>
      </c>
    </row>
    <row r="67">
      <c r="B67" s="40" t="inlineStr">
        <is>
          <t>Salva una copia di backup prima di apportare modifiche importanti.</t>
        </is>
      </c>
    </row>
    <row r="68">
      <c r="B68" s="40" t="inlineStr">
        <is>
          <t>Per domande o suggerimenti, consulta la documentazione inclusa.</t>
        </is>
      </c>
    </row>
  </sheetData>
  <mergeCells count="16">
    <mergeCell ref="B2:H2"/>
    <mergeCell ref="B4:H4"/>
    <mergeCell ref="B8:H8"/>
    <mergeCell ref="B14:H14"/>
    <mergeCell ref="B18:H18"/>
    <mergeCell ref="B24:H24"/>
    <mergeCell ref="B28:H28"/>
    <mergeCell ref="B34:H34"/>
    <mergeCell ref="B38:H38"/>
    <mergeCell ref="B45:H45"/>
    <mergeCell ref="B48:H48"/>
    <mergeCell ref="B51:H51"/>
    <mergeCell ref="B54:H54"/>
    <mergeCell ref="B58:H58"/>
    <mergeCell ref="B65:H65"/>
    <mergeCell ref="B68:H6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2026-03-09T15:03:10Z</dcterms:created>
  <dcterms:modified xmlns:dcterms="http://purl.org/dc/terms/" xmlns:xsi="http://www.w3.org/2001/XMLSchema-instance" xsi:type="dcterms:W3CDTF">2026-03-09T15:03:10Z</dcterms:modified>
</cp:coreProperties>
</file>